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誤差比較" sheetId="1" r:id="rId1"/>
    <sheet name="VD4" sheetId="7" r:id="rId2"/>
    <sheet name="Data VD4" sheetId="3" r:id="rId3"/>
    <sheet name="Load-List" sheetId="4" r:id="rId4"/>
    <sheet name="Data LList" sheetId="5" r:id="rId5"/>
  </sheets>
  <externalReferences>
    <externalReference r:id="rId6"/>
    <externalReference r:id="rId7"/>
  </externalReferences>
  <definedNames>
    <definedName name="ＡＣＧ">'Data VD4'!$G$38:$J$52</definedName>
    <definedName name="ＣＵＳＥＲ">'Data VD4'!$Z$27:$AB$44</definedName>
    <definedName name="ＣＶ２３Ｃ" localSheetId="2">'Data VD4'!$V$27:$X$44</definedName>
    <definedName name="ＣＶ２３Ｃ">'[1]DATA Table'!$V$27:$X$44</definedName>
    <definedName name="ＣＶＴ" localSheetId="1">'[1]DATA Table'!$Z$6:$AB$21</definedName>
    <definedName name="ＣＶＴ">'Data VD4'!$Z$6:$AB$21</definedName>
    <definedName name="ＩＶ" localSheetId="2">'Data VD4'!$V$6:$X$21</definedName>
    <definedName name="ＩＶ" localSheetId="1">'[1]DATA Table'!$V$6:$X$21</definedName>
    <definedName name="ＩＶ">'Data VD4'!$V$6:$X$21</definedName>
    <definedName name="Ｍ">'[2]DATA Table'!#REF!</definedName>
    <definedName name="_xlnm.Print_Area" localSheetId="4">'Data LList'!$A$1:$Y$39</definedName>
    <definedName name="_xlnm.Print_Area" localSheetId="3">'Load-List'!$B$2:$AB$53</definedName>
    <definedName name="_xlnm.Print_Area" localSheetId="1">'VD4'!$D$8:$AL$78</definedName>
    <definedName name="_xlnm.Print_Area" localSheetId="0">誤差比較!$A$1:$AL$50</definedName>
    <definedName name="電動機５０">'Data LList'!$B$10:$E$32</definedName>
    <definedName name="電動機６０">'Data LList'!$N$10:$Q$32</definedName>
    <definedName name="変１">'Data VD4'!$B$4:$T$16</definedName>
    <definedName name="変３">'Data VD4'!$B$20:$T$34</definedName>
    <definedName name="変ＵＳＥＲ" localSheetId="2">'Data VD4'!$B$38:$E$52</definedName>
    <definedName name="変ＵＳＥＲ" localSheetId="1">'[1]DATA Table'!$B$38:$E$52</definedName>
    <definedName name="変ＵＳＥＲ">'Data VD4'!$B$38:$E$52</definedName>
  </definedNames>
  <calcPr calcId="145621"/>
</workbook>
</file>

<file path=xl/calcChain.xml><?xml version="1.0" encoding="utf-8"?>
<calcChain xmlns="http://schemas.openxmlformats.org/spreadsheetml/2006/main">
  <c r="S18" i="1" l="1"/>
  <c r="S17" i="1"/>
  <c r="AM20" i="7" l="1"/>
  <c r="AR19" i="7" l="1"/>
  <c r="AR18" i="7"/>
  <c r="AR29" i="7"/>
  <c r="AR28" i="7"/>
  <c r="AR27" i="7"/>
  <c r="AR26" i="7"/>
  <c r="AR23" i="7"/>
  <c r="AR22" i="7"/>
  <c r="Z40" i="1" l="1"/>
  <c r="M40" i="1"/>
  <c r="Z35" i="1"/>
  <c r="M35" i="1"/>
  <c r="W25" i="1"/>
  <c r="E25" i="1"/>
  <c r="O25" i="1"/>
  <c r="AD14" i="1"/>
  <c r="D10" i="1"/>
  <c r="D9" i="1"/>
  <c r="AI9" i="1"/>
  <c r="AI7" i="1"/>
  <c r="AC40" i="1" l="1"/>
  <c r="O27" i="5"/>
  <c r="I4" i="4" l="1"/>
  <c r="I2" i="4"/>
  <c r="J7" i="4"/>
  <c r="H5" i="4"/>
  <c r="H2" i="4"/>
  <c r="U30" i="1"/>
  <c r="AC30" i="1"/>
  <c r="AC31" i="1"/>
  <c r="AC35" i="1"/>
  <c r="M23" i="7"/>
  <c r="AY61" i="7"/>
  <c r="AY59" i="7" s="1"/>
  <c r="AO61" i="7" s="1"/>
  <c r="AW61" i="7" s="1"/>
  <c r="AR61" i="7"/>
  <c r="AY60" i="7"/>
  <c r="AY58" i="7" s="1"/>
  <c r="AO60" i="7" s="1"/>
  <c r="AW60" i="7" s="1"/>
  <c r="AR60" i="7"/>
  <c r="AV59" i="7"/>
  <c r="AU59" i="7"/>
  <c r="AU61" i="7" s="1"/>
  <c r="AR59" i="7"/>
  <c r="AP59" i="7"/>
  <c r="AO59" i="7"/>
  <c r="AV58" i="7"/>
  <c r="AU58" i="7"/>
  <c r="AU60" i="7" s="1"/>
  <c r="AR58" i="7"/>
  <c r="AP58" i="7"/>
  <c r="AO58" i="7"/>
  <c r="AY57" i="7"/>
  <c r="AY55" i="7" s="1"/>
  <c r="AO57" i="7" s="1"/>
  <c r="AW57" i="7" s="1"/>
  <c r="AR57" i="7"/>
  <c r="AY56" i="7"/>
  <c r="AY54" i="7" s="1"/>
  <c r="AO56" i="7" s="1"/>
  <c r="AW56" i="7" s="1"/>
  <c r="AR56" i="7"/>
  <c r="AV55" i="7"/>
  <c r="AU55" i="7"/>
  <c r="AU57" i="7" s="1"/>
  <c r="AR55" i="7"/>
  <c r="AP55" i="7"/>
  <c r="AO55" i="7"/>
  <c r="AV54" i="7"/>
  <c r="AU54" i="7"/>
  <c r="AU56" i="7" s="1"/>
  <c r="AR54" i="7"/>
  <c r="AP54" i="7"/>
  <c r="AO54" i="7"/>
  <c r="AY53" i="7"/>
  <c r="AY51" i="7" s="1"/>
  <c r="AO53" i="7" s="1"/>
  <c r="AW53" i="7" s="1"/>
  <c r="AR53" i="7"/>
  <c r="AY52" i="7"/>
  <c r="AY50" i="7" s="1"/>
  <c r="AO52" i="7" s="1"/>
  <c r="AW52" i="7" s="1"/>
  <c r="AR52" i="7"/>
  <c r="AV51" i="7"/>
  <c r="AU51" i="7"/>
  <c r="AU53" i="7" s="1"/>
  <c r="AR51" i="7"/>
  <c r="AP51" i="7"/>
  <c r="AO51" i="7"/>
  <c r="AV50" i="7"/>
  <c r="AU50" i="7"/>
  <c r="AU52" i="7" s="1"/>
  <c r="AR50" i="7"/>
  <c r="AP50" i="7"/>
  <c r="AO50" i="7"/>
  <c r="AY49" i="7"/>
  <c r="AY47" i="7" s="1"/>
  <c r="AO49" i="7" s="1"/>
  <c r="AW49" i="7" s="1"/>
  <c r="AR49" i="7"/>
  <c r="AY48" i="7"/>
  <c r="AY46" i="7" s="1"/>
  <c r="AO48" i="7" s="1"/>
  <c r="AW48" i="7" s="1"/>
  <c r="AR48" i="7"/>
  <c r="AV47" i="7"/>
  <c r="AU47" i="7"/>
  <c r="AU49" i="7" s="1"/>
  <c r="AR47" i="7"/>
  <c r="AP47" i="7"/>
  <c r="AO47" i="7"/>
  <c r="AV46" i="7"/>
  <c r="AU46" i="7"/>
  <c r="AU48" i="7" s="1"/>
  <c r="AR46" i="7"/>
  <c r="AP46" i="7"/>
  <c r="AO46" i="7"/>
  <c r="AY45" i="7"/>
  <c r="AY43" i="7" s="1"/>
  <c r="AO45" i="7" s="1"/>
  <c r="AW45" i="7" s="1"/>
  <c r="AR45" i="7"/>
  <c r="AY44" i="7"/>
  <c r="AY42" i="7" s="1"/>
  <c r="AO44" i="7" s="1"/>
  <c r="AW44" i="7" s="1"/>
  <c r="AR44" i="7"/>
  <c r="AV43" i="7"/>
  <c r="AU43" i="7"/>
  <c r="AU45" i="7" s="1"/>
  <c r="AR43" i="7"/>
  <c r="AP43" i="7"/>
  <c r="AO43" i="7"/>
  <c r="AV42" i="7"/>
  <c r="AU42" i="7"/>
  <c r="AU44" i="7" s="1"/>
  <c r="AR42" i="7"/>
  <c r="AP42" i="7"/>
  <c r="AO42" i="7"/>
  <c r="AY41" i="7"/>
  <c r="AY39" i="7" s="1"/>
  <c r="AO41" i="7" s="1"/>
  <c r="AW41" i="7" s="1"/>
  <c r="AR41" i="7"/>
  <c r="AY40" i="7"/>
  <c r="AY38" i="7" s="1"/>
  <c r="AO40" i="7" s="1"/>
  <c r="AW40" i="7" s="1"/>
  <c r="AR40" i="7"/>
  <c r="AV39" i="7"/>
  <c r="AU39" i="7"/>
  <c r="AU41" i="7" s="1"/>
  <c r="AR39" i="7"/>
  <c r="AP39" i="7"/>
  <c r="AO39" i="7"/>
  <c r="AV38" i="7"/>
  <c r="AU38" i="7"/>
  <c r="AU40" i="7" s="1"/>
  <c r="AR38" i="7"/>
  <c r="AP38" i="7"/>
  <c r="AO38" i="7"/>
  <c r="AY37" i="7"/>
  <c r="AY35" i="7" s="1"/>
  <c r="AO37" i="7" s="1"/>
  <c r="AW37" i="7" s="1"/>
  <c r="AR37" i="7"/>
  <c r="AY36" i="7"/>
  <c r="AY34" i="7" s="1"/>
  <c r="AO36" i="7" s="1"/>
  <c r="AW36" i="7" s="1"/>
  <c r="AR36" i="7"/>
  <c r="AV35" i="7"/>
  <c r="AU35" i="7"/>
  <c r="AU37" i="7" s="1"/>
  <c r="AR35" i="7"/>
  <c r="AP35" i="7"/>
  <c r="AO35" i="7"/>
  <c r="AV34" i="7"/>
  <c r="AU34" i="7"/>
  <c r="AU36" i="7" s="1"/>
  <c r="AR34" i="7"/>
  <c r="AP34" i="7"/>
  <c r="AO34" i="7"/>
  <c r="AY33" i="7"/>
  <c r="AY31" i="7" s="1"/>
  <c r="AO33" i="7" s="1"/>
  <c r="AW33" i="7" s="1"/>
  <c r="AR33" i="7"/>
  <c r="AY32" i="7"/>
  <c r="AY30" i="7" s="1"/>
  <c r="AO32" i="7" s="1"/>
  <c r="AW32" i="7" s="1"/>
  <c r="AR32" i="7"/>
  <c r="AV31" i="7"/>
  <c r="AU31" i="7"/>
  <c r="AU33" i="7" s="1"/>
  <c r="AR31" i="7"/>
  <c r="AP31" i="7"/>
  <c r="AO31" i="7"/>
  <c r="AV30" i="7"/>
  <c r="AU30" i="7"/>
  <c r="AU32" i="7" s="1"/>
  <c r="AR30" i="7"/>
  <c r="AP30" i="7"/>
  <c r="AO30" i="7"/>
  <c r="AY29" i="7"/>
  <c r="AY27" i="7" s="1"/>
  <c r="AO29" i="7" s="1"/>
  <c r="AW29" i="7" s="1"/>
  <c r="AY28" i="7"/>
  <c r="AY26" i="7" s="1"/>
  <c r="AO28" i="7" s="1"/>
  <c r="AW28" i="7" s="1"/>
  <c r="AV27" i="7"/>
  <c r="AU27" i="7"/>
  <c r="AU29" i="7" s="1"/>
  <c r="AP27" i="7"/>
  <c r="AO27" i="7"/>
  <c r="AV26" i="7"/>
  <c r="AU26" i="7"/>
  <c r="AU28" i="7" s="1"/>
  <c r="AP26" i="7"/>
  <c r="AO26" i="7"/>
  <c r="AY25" i="7"/>
  <c r="AY23" i="7" s="1"/>
  <c r="AY24" i="7"/>
  <c r="AY22" i="7" s="1"/>
  <c r="AV23" i="7"/>
  <c r="AU23" i="7"/>
  <c r="AU25" i="7" s="1"/>
  <c r="AP23" i="7"/>
  <c r="AO23" i="7"/>
  <c r="AV22" i="7"/>
  <c r="AU22" i="7"/>
  <c r="AU24" i="7" s="1"/>
  <c r="AP22" i="7"/>
  <c r="AO22" i="7"/>
  <c r="AP18" i="7"/>
  <c r="AU18" i="7"/>
  <c r="AU20" i="7" s="1"/>
  <c r="AP19" i="7"/>
  <c r="AU19" i="7"/>
  <c r="AU21" i="7" s="1"/>
  <c r="BB19" i="7"/>
  <c r="BB20" i="7"/>
  <c r="BB21" i="7"/>
  <c r="AZ8" i="7" l="1"/>
  <c r="AE22" i="7" l="1"/>
  <c r="AD24" i="7"/>
  <c r="AC24" i="7"/>
  <c r="AB24" i="7"/>
  <c r="AB22" i="7"/>
  <c r="AE18" i="7"/>
  <c r="AD20" i="7"/>
  <c r="AC20" i="7"/>
  <c r="AB20" i="7"/>
  <c r="AB18" i="7"/>
  <c r="AA18" i="7"/>
  <c r="Z20" i="7"/>
  <c r="Y20" i="7"/>
  <c r="X20" i="7"/>
  <c r="X18" i="7"/>
  <c r="T22" i="7"/>
  <c r="P22" i="7"/>
  <c r="F25" i="7"/>
  <c r="O22" i="7"/>
  <c r="BB22" i="7" s="1"/>
  <c r="T18" i="7"/>
  <c r="P18" i="7"/>
  <c r="O18" i="7"/>
  <c r="BB18" i="7" s="1"/>
  <c r="F20" i="7"/>
  <c r="J18" i="7"/>
  <c r="K18" i="7" s="1"/>
  <c r="L20" i="7"/>
  <c r="M18" i="7"/>
  <c r="L18" i="7"/>
  <c r="F21" i="7"/>
  <c r="H18" i="7"/>
  <c r="F18" i="7"/>
  <c r="BB65" i="7"/>
  <c r="AY65" i="7"/>
  <c r="AY63" i="7" s="1"/>
  <c r="AO65" i="7" s="1"/>
  <c r="AW65" i="7" s="1"/>
  <c r="AR65" i="7"/>
  <c r="AD65" i="7"/>
  <c r="AB65" i="7"/>
  <c r="Z65" i="7"/>
  <c r="X65" i="7"/>
  <c r="S65" i="7"/>
  <c r="L65" i="7"/>
  <c r="BB64" i="7"/>
  <c r="AY64" i="7"/>
  <c r="AY62" i="7" s="1"/>
  <c r="AO64" i="7" s="1"/>
  <c r="AW64" i="7" s="1"/>
  <c r="AR64" i="7"/>
  <c r="S64" i="7"/>
  <c r="BA63" i="7" s="1"/>
  <c r="BB63" i="7"/>
  <c r="AV63" i="7"/>
  <c r="AU63" i="7"/>
  <c r="AU65" i="7" s="1"/>
  <c r="AR63" i="7"/>
  <c r="AP63" i="7"/>
  <c r="AO63" i="7"/>
  <c r="S63" i="7"/>
  <c r="M63" i="7"/>
  <c r="BB62" i="7"/>
  <c r="AV62" i="7"/>
  <c r="AU62" i="7"/>
  <c r="AU64" i="7" s="1"/>
  <c r="AR62" i="7"/>
  <c r="AP62" i="7"/>
  <c r="AO62" i="7"/>
  <c r="S62" i="7"/>
  <c r="K62" i="7"/>
  <c r="I62" i="7"/>
  <c r="G62" i="7"/>
  <c r="BB61" i="7"/>
  <c r="AD61" i="7"/>
  <c r="AB61" i="7"/>
  <c r="Z61" i="7"/>
  <c r="X61" i="7"/>
  <c r="S61" i="7"/>
  <c r="L61" i="7"/>
  <c r="BB60" i="7"/>
  <c r="S60" i="7"/>
  <c r="BB59" i="7"/>
  <c r="S59" i="7"/>
  <c r="M59" i="7"/>
  <c r="BB58" i="7"/>
  <c r="S58" i="7"/>
  <c r="BA58" i="7" s="1"/>
  <c r="K58" i="7"/>
  <c r="I58" i="7"/>
  <c r="G58" i="7"/>
  <c r="BB57" i="7"/>
  <c r="BA57" i="7"/>
  <c r="AD57" i="7"/>
  <c r="AB57" i="7"/>
  <c r="Z57" i="7"/>
  <c r="X57" i="7"/>
  <c r="S57" i="7"/>
  <c r="L57" i="7"/>
  <c r="BB56" i="7"/>
  <c r="BA56" i="7"/>
  <c r="S56" i="7"/>
  <c r="BB55" i="7"/>
  <c r="S55" i="7"/>
  <c r="BA55" i="7" s="1"/>
  <c r="M55" i="7"/>
  <c r="BB54" i="7"/>
  <c r="BA54" i="7"/>
  <c r="S54" i="7"/>
  <c r="K54" i="7"/>
  <c r="I54" i="7"/>
  <c r="G54" i="7"/>
  <c r="BB53" i="7"/>
  <c r="BA53" i="7"/>
  <c r="AD53" i="7"/>
  <c r="AB53" i="7"/>
  <c r="Z53" i="7"/>
  <c r="X53" i="7"/>
  <c r="S53" i="7"/>
  <c r="L53" i="7"/>
  <c r="BB52" i="7"/>
  <c r="S52" i="7"/>
  <c r="BB51" i="7"/>
  <c r="S51" i="7"/>
  <c r="M51" i="7"/>
  <c r="BB50" i="7"/>
  <c r="S50" i="7"/>
  <c r="K50" i="7"/>
  <c r="I50" i="7"/>
  <c r="G50" i="7"/>
  <c r="BB49" i="7"/>
  <c r="AD49" i="7"/>
  <c r="AB49" i="7"/>
  <c r="Z49" i="7"/>
  <c r="X49" i="7"/>
  <c r="S49" i="7"/>
  <c r="L49" i="7"/>
  <c r="BB48" i="7"/>
  <c r="S48" i="7"/>
  <c r="BB47" i="7"/>
  <c r="BA47" i="7"/>
  <c r="S47" i="7"/>
  <c r="M47" i="7"/>
  <c r="BB46" i="7"/>
  <c r="S46" i="7"/>
  <c r="K46" i="7"/>
  <c r="I46" i="7"/>
  <c r="G46" i="7"/>
  <c r="BB45" i="7"/>
  <c r="AD45" i="7"/>
  <c r="AB45" i="7"/>
  <c r="Z45" i="7"/>
  <c r="X45" i="7"/>
  <c r="S45" i="7"/>
  <c r="BA43" i="7" s="1"/>
  <c r="L45" i="7"/>
  <c r="BB44" i="7"/>
  <c r="BA44" i="7"/>
  <c r="S44" i="7"/>
  <c r="BB43" i="7"/>
  <c r="S43" i="7"/>
  <c r="BA45" i="7" s="1"/>
  <c r="M43" i="7"/>
  <c r="BB42" i="7"/>
  <c r="S42" i="7"/>
  <c r="K42" i="7"/>
  <c r="I42" i="7"/>
  <c r="G42" i="7"/>
  <c r="BB41" i="7"/>
  <c r="AD41" i="7"/>
  <c r="AB41" i="7"/>
  <c r="Z41" i="7"/>
  <c r="X41" i="7"/>
  <c r="S41" i="7"/>
  <c r="L41" i="7"/>
  <c r="BB40" i="7"/>
  <c r="S40" i="7"/>
  <c r="BB39" i="7"/>
  <c r="S39" i="7"/>
  <c r="M39" i="7"/>
  <c r="BB38" i="7"/>
  <c r="S38" i="7"/>
  <c r="K38" i="7"/>
  <c r="I38" i="7"/>
  <c r="G38" i="7"/>
  <c r="BB37" i="7"/>
  <c r="AD37" i="7"/>
  <c r="AB37" i="7"/>
  <c r="Z37" i="7"/>
  <c r="X37" i="7"/>
  <c r="S37" i="7"/>
  <c r="L37" i="7"/>
  <c r="BB36" i="7"/>
  <c r="BA36" i="7"/>
  <c r="S36" i="7"/>
  <c r="BB35" i="7"/>
  <c r="S35" i="7"/>
  <c r="M35" i="7"/>
  <c r="BB34" i="7"/>
  <c r="S34" i="7"/>
  <c r="K34" i="7"/>
  <c r="I34" i="7"/>
  <c r="G34" i="7"/>
  <c r="BB33" i="7"/>
  <c r="AD33" i="7"/>
  <c r="AB33" i="7"/>
  <c r="Z33" i="7"/>
  <c r="X33" i="7"/>
  <c r="S33" i="7"/>
  <c r="L33" i="7"/>
  <c r="BB32" i="7"/>
  <c r="S32" i="7"/>
  <c r="BA31" i="7" s="1"/>
  <c r="BB31" i="7"/>
  <c r="S31" i="7"/>
  <c r="M31" i="7"/>
  <c r="BB30" i="7"/>
  <c r="S30" i="7"/>
  <c r="K30" i="7"/>
  <c r="I30" i="7"/>
  <c r="G30" i="7"/>
  <c r="BB29" i="7"/>
  <c r="AD29" i="7"/>
  <c r="AB29" i="7"/>
  <c r="Z29" i="7"/>
  <c r="X29" i="7"/>
  <c r="S29" i="7"/>
  <c r="L29" i="7"/>
  <c r="BB28" i="7"/>
  <c r="S28" i="7"/>
  <c r="BB27" i="7"/>
  <c r="S27" i="7"/>
  <c r="BA29" i="7" s="1"/>
  <c r="M27" i="7"/>
  <c r="BB26" i="7"/>
  <c r="S26" i="7"/>
  <c r="K26" i="7"/>
  <c r="I26" i="7"/>
  <c r="G26" i="7"/>
  <c r="BB25" i="7"/>
  <c r="Z25" i="7"/>
  <c r="X25" i="7"/>
  <c r="S25" i="7"/>
  <c r="L25" i="7"/>
  <c r="BB24" i="7"/>
  <c r="S24" i="7"/>
  <c r="BB23" i="7"/>
  <c r="S23" i="7"/>
  <c r="K22" i="7"/>
  <c r="I22" i="7"/>
  <c r="G22" i="7"/>
  <c r="S21" i="7"/>
  <c r="S20" i="7"/>
  <c r="S19" i="7"/>
  <c r="BB17" i="7"/>
  <c r="AY17" i="7"/>
  <c r="AY15" i="7" s="1"/>
  <c r="AO17" i="7" s="1"/>
  <c r="AW17" i="7" s="1"/>
  <c r="AR17" i="7"/>
  <c r="AD17" i="7"/>
  <c r="AB17" i="7"/>
  <c r="Z17" i="7"/>
  <c r="X17" i="7"/>
  <c r="S17" i="7"/>
  <c r="L17" i="7"/>
  <c r="BB16" i="7"/>
  <c r="AY16" i="7"/>
  <c r="AY14" i="7" s="1"/>
  <c r="AO16" i="7" s="1"/>
  <c r="AW16" i="7" s="1"/>
  <c r="AX16" i="7" s="1"/>
  <c r="AR16" i="7"/>
  <c r="S16" i="7"/>
  <c r="BA16" i="7" s="1"/>
  <c r="BB15" i="7"/>
  <c r="AV15" i="7"/>
  <c r="AU15" i="7"/>
  <c r="AU17" i="7" s="1"/>
  <c r="AR15" i="7"/>
  <c r="AP15" i="7"/>
  <c r="AO15" i="7"/>
  <c r="S15" i="7"/>
  <c r="M15" i="7"/>
  <c r="BB14" i="7"/>
  <c r="AV14" i="7"/>
  <c r="AU14" i="7"/>
  <c r="AU16" i="7" s="1"/>
  <c r="AR14" i="7"/>
  <c r="AP14" i="7"/>
  <c r="AO14" i="7"/>
  <c r="S14" i="7"/>
  <c r="K14" i="7"/>
  <c r="I14" i="7"/>
  <c r="G14" i="7"/>
  <c r="AR25" i="7" l="1"/>
  <c r="AR24" i="7"/>
  <c r="AR21" i="7"/>
  <c r="AR20" i="7"/>
  <c r="U34" i="7"/>
  <c r="AX34" i="7"/>
  <c r="AF37" i="7" s="1"/>
  <c r="AV36" i="7"/>
  <c r="AO18" i="7"/>
  <c r="AO19" i="7"/>
  <c r="AI43" i="7"/>
  <c r="AV44" i="7"/>
  <c r="AX42" i="7"/>
  <c r="AF45" i="7" s="1"/>
  <c r="AV18" i="7"/>
  <c r="AV19" i="7"/>
  <c r="AO24" i="7"/>
  <c r="AW24" i="7" s="1"/>
  <c r="AO25" i="7"/>
  <c r="AW25" i="7" s="1"/>
  <c r="AI55" i="7"/>
  <c r="AV56" i="7"/>
  <c r="AX54" i="7"/>
  <c r="AF57" i="7" s="1"/>
  <c r="AN56" i="7"/>
  <c r="AN55" i="7"/>
  <c r="AN54" i="7"/>
  <c r="AQ55" i="7"/>
  <c r="AQ54" i="7"/>
  <c r="AN57" i="7"/>
  <c r="I18" i="7"/>
  <c r="G18" i="7"/>
  <c r="AN58" i="7"/>
  <c r="AQ58" i="7"/>
  <c r="AN60" i="7"/>
  <c r="AN59" i="7"/>
  <c r="AN61" i="7"/>
  <c r="U54" i="7"/>
  <c r="U42" i="7"/>
  <c r="AG14" i="7"/>
  <c r="U14" i="7"/>
  <c r="U17" i="7"/>
  <c r="AV16" i="7"/>
  <c r="AV17" i="7" s="1"/>
  <c r="U16" i="7"/>
  <c r="AI15" i="7"/>
  <c r="AX14" i="7"/>
  <c r="U15" i="7"/>
  <c r="AF14" i="7"/>
  <c r="BA40" i="7"/>
  <c r="BA41" i="7"/>
  <c r="U44" i="7"/>
  <c r="U43" i="7"/>
  <c r="AG42" i="7"/>
  <c r="U45" i="7"/>
  <c r="BA65" i="7"/>
  <c r="BA14" i="7"/>
  <c r="AG34" i="7"/>
  <c r="U35" i="7"/>
  <c r="U37" i="7"/>
  <c r="BA28" i="7"/>
  <c r="AI35" i="7"/>
  <c r="BA59" i="7"/>
  <c r="AQ59" i="7" s="1"/>
  <c r="BA60" i="7"/>
  <c r="U36" i="7"/>
  <c r="BA38" i="7"/>
  <c r="BA52" i="7"/>
  <c r="BA61" i="7"/>
  <c r="BA17" i="7"/>
  <c r="BA15" i="7"/>
  <c r="BA34" i="7"/>
  <c r="BA35" i="7"/>
  <c r="BA37" i="7"/>
  <c r="BA26" i="7"/>
  <c r="BA27" i="7"/>
  <c r="BA30" i="7"/>
  <c r="BA33" i="7"/>
  <c r="BA32" i="7"/>
  <c r="BA42" i="7"/>
  <c r="BA50" i="7"/>
  <c r="BA46" i="7"/>
  <c r="BA49" i="7"/>
  <c r="BA48" i="7"/>
  <c r="BA51" i="7"/>
  <c r="BA62" i="7"/>
  <c r="BA39" i="7"/>
  <c r="U55" i="7"/>
  <c r="U57" i="7"/>
  <c r="AG54" i="7"/>
  <c r="U56" i="7"/>
  <c r="BA64" i="7"/>
  <c r="AX30" i="7" l="1"/>
  <c r="AF33" i="7" s="1"/>
  <c r="AV32" i="7"/>
  <c r="AV28" i="7"/>
  <c r="AX26" i="7"/>
  <c r="AF29" i="7" s="1"/>
  <c r="AV40" i="7"/>
  <c r="AX38" i="7"/>
  <c r="AF41" i="7" s="1"/>
  <c r="AX50" i="7"/>
  <c r="AF53" i="7" s="1"/>
  <c r="AV52" i="7"/>
  <c r="AV60" i="7"/>
  <c r="AX58" i="7"/>
  <c r="AF61" i="7" s="1"/>
  <c r="AV48" i="7"/>
  <c r="AX46" i="7"/>
  <c r="AF49" i="7" s="1"/>
  <c r="AQ51" i="7"/>
  <c r="AQ50" i="7"/>
  <c r="AN52" i="7"/>
  <c r="AN51" i="7"/>
  <c r="AN50" i="7"/>
  <c r="AN53" i="7"/>
  <c r="AQ43" i="7"/>
  <c r="AQ42" i="7"/>
  <c r="AN44" i="7"/>
  <c r="AN43" i="7"/>
  <c r="AN42" i="7"/>
  <c r="AN45" i="7"/>
  <c r="AN36" i="7"/>
  <c r="AN35" i="7"/>
  <c r="AN34" i="7"/>
  <c r="AQ35" i="7"/>
  <c r="AQ34" i="7"/>
  <c r="AN37" i="7"/>
  <c r="AN33" i="7"/>
  <c r="AQ31" i="7"/>
  <c r="AQ30" i="7"/>
  <c r="AN31" i="7"/>
  <c r="AN30" i="7"/>
  <c r="AN32" i="7"/>
  <c r="AQ47" i="7"/>
  <c r="AQ46" i="7"/>
  <c r="AN49" i="7"/>
  <c r="AN48" i="7"/>
  <c r="AN47" i="7"/>
  <c r="AN46" i="7"/>
  <c r="AN27" i="7"/>
  <c r="AN26" i="7"/>
  <c r="AN28" i="7"/>
  <c r="AQ26" i="7"/>
  <c r="AN29" i="7"/>
  <c r="AQ27" i="7"/>
  <c r="AQ39" i="7"/>
  <c r="AN41" i="7"/>
  <c r="AQ38" i="7"/>
  <c r="AN39" i="7"/>
  <c r="AN38" i="7"/>
  <c r="AN40" i="7"/>
  <c r="AF17" i="7"/>
  <c r="V34" i="7"/>
  <c r="V57" i="7"/>
  <c r="AQ57" i="7" s="1"/>
  <c r="V45" i="7"/>
  <c r="AQ45" i="7" s="1"/>
  <c r="V54" i="7"/>
  <c r="V42" i="7"/>
  <c r="V36" i="7"/>
  <c r="AQ36" i="7" s="1"/>
  <c r="AG50" i="7"/>
  <c r="U51" i="7"/>
  <c r="U53" i="7"/>
  <c r="AI51" i="7"/>
  <c r="U50" i="7"/>
  <c r="U52" i="7"/>
  <c r="AG43" i="7"/>
  <c r="AI42" i="7"/>
  <c r="AG44" i="7"/>
  <c r="V14" i="7"/>
  <c r="V17" i="7"/>
  <c r="AQ17" i="7" s="1"/>
  <c r="V16" i="7"/>
  <c r="AQ16" i="7" s="1"/>
  <c r="AG36" i="7"/>
  <c r="AI34" i="7"/>
  <c r="AG35" i="7"/>
  <c r="AF16" i="7"/>
  <c r="AF15" i="7"/>
  <c r="AG16" i="7"/>
  <c r="AG15" i="7"/>
  <c r="AI14" i="7"/>
  <c r="AI63" i="7"/>
  <c r="U62" i="7"/>
  <c r="U64" i="7"/>
  <c r="AX62" i="7"/>
  <c r="AF65" i="7" s="1"/>
  <c r="AG62" i="7"/>
  <c r="U63" i="7"/>
  <c r="AV64" i="7"/>
  <c r="U65" i="7"/>
  <c r="U32" i="7"/>
  <c r="AG30" i="7"/>
  <c r="U33" i="7"/>
  <c r="AI31" i="7"/>
  <c r="U30" i="7"/>
  <c r="U31" i="7"/>
  <c r="U60" i="7"/>
  <c r="U59" i="7"/>
  <c r="AG58" i="7"/>
  <c r="U61" i="7"/>
  <c r="AI59" i="7"/>
  <c r="U58" i="7"/>
  <c r="V56" i="7"/>
  <c r="AQ56" i="7" s="1"/>
  <c r="V37" i="7"/>
  <c r="AQ37" i="7" s="1"/>
  <c r="AN63" i="7"/>
  <c r="AQ62" i="7"/>
  <c r="AN64" i="7"/>
  <c r="AQ63" i="7"/>
  <c r="AN62" i="7"/>
  <c r="AN65" i="7"/>
  <c r="AN16" i="7"/>
  <c r="AN17" i="7"/>
  <c r="AN15" i="7"/>
  <c r="AQ14" i="7"/>
  <c r="AN14" i="7"/>
  <c r="AQ15" i="7"/>
  <c r="V44" i="7"/>
  <c r="AQ44" i="7" s="1"/>
  <c r="AI54" i="7"/>
  <c r="AG56" i="7"/>
  <c r="AG55" i="7"/>
  <c r="AI47" i="7"/>
  <c r="U46" i="7"/>
  <c r="U48" i="7"/>
  <c r="AG46" i="7"/>
  <c r="U47" i="7"/>
  <c r="U49" i="7"/>
  <c r="U27" i="7"/>
  <c r="AI27" i="7"/>
  <c r="U29" i="7"/>
  <c r="U28" i="7"/>
  <c r="AG26" i="7"/>
  <c r="U26" i="7"/>
  <c r="U39" i="7"/>
  <c r="U41" i="7"/>
  <c r="AG38" i="7"/>
  <c r="U40" i="7"/>
  <c r="U38" i="7"/>
  <c r="AI39" i="7"/>
  <c r="AP57" i="7" l="1"/>
  <c r="AS55" i="7" s="1"/>
  <c r="AP56" i="7"/>
  <c r="AS54" i="7" s="1"/>
  <c r="AP37" i="7"/>
  <c r="AS35" i="7" s="1"/>
  <c r="AP36" i="7"/>
  <c r="AS34" i="7" s="1"/>
  <c r="AP44" i="7"/>
  <c r="AS42" i="7" s="1"/>
  <c r="AP45" i="7"/>
  <c r="AS43" i="7" s="1"/>
  <c r="V61" i="7"/>
  <c r="AQ61" i="7" s="1"/>
  <c r="V58" i="7"/>
  <c r="V60" i="7"/>
  <c r="AQ60" i="7" s="1"/>
  <c r="V30" i="7"/>
  <c r="V32" i="7"/>
  <c r="AQ32" i="7" s="1"/>
  <c r="V33" i="7"/>
  <c r="AQ33" i="7" s="1"/>
  <c r="AG52" i="7"/>
  <c r="AI50" i="7"/>
  <c r="AG51" i="7"/>
  <c r="AI38" i="7"/>
  <c r="AG40" i="7"/>
  <c r="AG39" i="7"/>
  <c r="AG63" i="7"/>
  <c r="AG64" i="7"/>
  <c r="AI62" i="7"/>
  <c r="AG27" i="7"/>
  <c r="AI26" i="7"/>
  <c r="AG28" i="7"/>
  <c r="AG47" i="7"/>
  <c r="AG48" i="7"/>
  <c r="AI46" i="7"/>
  <c r="V50" i="7"/>
  <c r="V53" i="7"/>
  <c r="AQ53" i="7" s="1"/>
  <c r="V52" i="7"/>
  <c r="AQ52" i="7" s="1"/>
  <c r="V46" i="7"/>
  <c r="V48" i="7"/>
  <c r="AQ48" i="7" s="1"/>
  <c r="V49" i="7"/>
  <c r="AQ49" i="7" s="1"/>
  <c r="AG59" i="7"/>
  <c r="AI58" i="7"/>
  <c r="AG60" i="7"/>
  <c r="AG31" i="7"/>
  <c r="AG32" i="7"/>
  <c r="AI30" i="7"/>
  <c r="V41" i="7"/>
  <c r="AQ41" i="7" s="1"/>
  <c r="V40" i="7"/>
  <c r="AQ40" i="7" s="1"/>
  <c r="V38" i="7"/>
  <c r="V62" i="7"/>
  <c r="V64" i="7"/>
  <c r="AQ64" i="7" s="1"/>
  <c r="V65" i="7"/>
  <c r="AQ65" i="7" s="1"/>
  <c r="V29" i="7"/>
  <c r="AQ29" i="7" s="1"/>
  <c r="V26" i="7"/>
  <c r="V28" i="7"/>
  <c r="AQ28" i="7" s="1"/>
  <c r="AP17" i="7"/>
  <c r="AP16" i="7"/>
  <c r="AI57" i="7" l="1"/>
  <c r="AI37" i="7"/>
  <c r="AP53" i="7"/>
  <c r="AS51" i="7" s="1"/>
  <c r="AS53" i="7" s="1"/>
  <c r="AT53" i="7" s="1"/>
  <c r="AT51" i="7" s="1"/>
  <c r="AW51" i="7" s="1"/>
  <c r="AP52" i="7"/>
  <c r="AS50" i="7" s="1"/>
  <c r="AS52" i="7" s="1"/>
  <c r="AT52" i="7" s="1"/>
  <c r="AT50" i="7" s="1"/>
  <c r="AW50" i="7" s="1"/>
  <c r="AI45" i="7"/>
  <c r="AP28" i="7"/>
  <c r="AS26" i="7" s="1"/>
  <c r="AP29" i="7"/>
  <c r="AS27" i="7" s="1"/>
  <c r="AP49" i="7"/>
  <c r="AS47" i="7" s="1"/>
  <c r="AP48" i="7"/>
  <c r="AS46" i="7" s="1"/>
  <c r="AP61" i="7"/>
  <c r="AS59" i="7" s="1"/>
  <c r="AP60" i="7"/>
  <c r="AS58" i="7" s="1"/>
  <c r="AP41" i="7"/>
  <c r="AS39" i="7" s="1"/>
  <c r="AS41" i="7" s="1"/>
  <c r="AT41" i="7" s="1"/>
  <c r="AT39" i="7" s="1"/>
  <c r="AW39" i="7" s="1"/>
  <c r="AP40" i="7"/>
  <c r="AS38" i="7" s="1"/>
  <c r="AG45" i="7"/>
  <c r="AP32" i="7"/>
  <c r="AS30" i="7" s="1"/>
  <c r="AP33" i="7"/>
  <c r="AS31" i="7" s="1"/>
  <c r="AS33" i="7" s="1"/>
  <c r="AT33" i="7" s="1"/>
  <c r="AT31" i="7" s="1"/>
  <c r="AW31" i="7" s="1"/>
  <c r="AG57" i="7"/>
  <c r="W44" i="7"/>
  <c r="W56" i="7"/>
  <c r="W36" i="7"/>
  <c r="AG37" i="7"/>
  <c r="AP65" i="7"/>
  <c r="AP64" i="7"/>
  <c r="AG17" i="7"/>
  <c r="W16" i="7"/>
  <c r="AS14" i="7"/>
  <c r="AS15" i="7"/>
  <c r="AI17" i="7"/>
  <c r="AS56" i="7" l="1"/>
  <c r="AT56" i="7" s="1"/>
  <c r="AT54" i="7" s="1"/>
  <c r="AW54" i="7" s="1"/>
  <c r="AS49" i="7"/>
  <c r="AT49" i="7" s="1"/>
  <c r="AT47" i="7" s="1"/>
  <c r="AW47" i="7" s="1"/>
  <c r="AS45" i="7"/>
  <c r="AT45" i="7" s="1"/>
  <c r="AT43" i="7" s="1"/>
  <c r="AW43" i="7" s="1"/>
  <c r="AS44" i="7"/>
  <c r="AT44" i="7" s="1"/>
  <c r="AT42" i="7" s="1"/>
  <c r="AW42" i="7" s="1"/>
  <c r="AS28" i="7"/>
  <c r="AT28" i="7" s="1"/>
  <c r="AT26" i="7" s="1"/>
  <c r="AW26" i="7" s="1"/>
  <c r="AS29" i="7"/>
  <c r="AT29" i="7" s="1"/>
  <c r="AT27" i="7" s="1"/>
  <c r="AW27" i="7" s="1"/>
  <c r="AS37" i="7"/>
  <c r="AT37" i="7" s="1"/>
  <c r="AT35" i="7" s="1"/>
  <c r="AW35" i="7" s="1"/>
  <c r="AS36" i="7"/>
  <c r="AT36" i="7" s="1"/>
  <c r="AT34" i="7" s="1"/>
  <c r="AW34" i="7" s="1"/>
  <c r="AS57" i="7"/>
  <c r="AT57" i="7" s="1"/>
  <c r="AT55" i="7" s="1"/>
  <c r="AW55" i="7" s="1"/>
  <c r="AS48" i="7"/>
  <c r="AT48" i="7" s="1"/>
  <c r="AT46" i="7" s="1"/>
  <c r="AW46" i="7" s="1"/>
  <c r="AS40" i="7"/>
  <c r="AT40" i="7" s="1"/>
  <c r="AT38" i="7" s="1"/>
  <c r="AW38" i="7" s="1"/>
  <c r="AS32" i="7"/>
  <c r="AT32" i="7" s="1"/>
  <c r="AT30" i="7" s="1"/>
  <c r="AW30" i="7" s="1"/>
  <c r="W48" i="7"/>
  <c r="AG49" i="7"/>
  <c r="AI41" i="7"/>
  <c r="AI61" i="7"/>
  <c r="AI29" i="7"/>
  <c r="AG41" i="7"/>
  <c r="W40" i="7"/>
  <c r="W32" i="7"/>
  <c r="AG33" i="7"/>
  <c r="AI49" i="7"/>
  <c r="AG53" i="7"/>
  <c r="W52" i="7"/>
  <c r="AI53" i="7"/>
  <c r="AI33" i="7"/>
  <c r="W64" i="7"/>
  <c r="AG65" i="7"/>
  <c r="AS62" i="7"/>
  <c r="W60" i="7"/>
  <c r="AG61" i="7"/>
  <c r="W28" i="7"/>
  <c r="AG29" i="7"/>
  <c r="AI65" i="7"/>
  <c r="AS63" i="7"/>
  <c r="AS65" i="7" s="1"/>
  <c r="AT65" i="7" s="1"/>
  <c r="AT63" i="7" s="1"/>
  <c r="AW63" i="7" s="1"/>
  <c r="AS60" i="7" l="1"/>
  <c r="AT60" i="7" s="1"/>
  <c r="AT58" i="7" s="1"/>
  <c r="AW58" i="7" s="1"/>
  <c r="AS61" i="7"/>
  <c r="AT61" i="7" s="1"/>
  <c r="AT59" i="7" s="1"/>
  <c r="AW59" i="7" s="1"/>
  <c r="AS64" i="7"/>
  <c r="AT64" i="7" s="1"/>
  <c r="AT62" i="7" s="1"/>
  <c r="AW62" i="7" s="1"/>
  <c r="U31" i="1" l="1"/>
  <c r="X18" i="4"/>
  <c r="X11" i="4"/>
  <c r="AB25" i="1" l="1"/>
  <c r="H14" i="1"/>
  <c r="L8" i="1"/>
  <c r="U10" i="1"/>
  <c r="U8" i="1"/>
  <c r="S5" i="5"/>
  <c r="N22" i="1"/>
  <c r="T25" i="1" l="1"/>
  <c r="O25" i="5"/>
  <c r="O24" i="5"/>
  <c r="J25" i="1"/>
  <c r="H25" i="1"/>
  <c r="S25" i="1"/>
  <c r="AA25" i="1"/>
  <c r="Q17" i="4"/>
  <c r="Q16" i="4"/>
  <c r="Q15" i="4"/>
  <c r="Q14" i="4"/>
  <c r="Q13" i="4"/>
  <c r="Q12" i="4"/>
  <c r="P17" i="4"/>
  <c r="AE17" i="4" s="1"/>
  <c r="P16" i="4"/>
  <c r="AE16" i="4" s="1"/>
  <c r="P15" i="4"/>
  <c r="AE15" i="4" s="1"/>
  <c r="P14" i="4"/>
  <c r="AE14" i="4" s="1"/>
  <c r="P13" i="4"/>
  <c r="AE13" i="4" s="1"/>
  <c r="P12" i="4"/>
  <c r="AE12" i="4" s="1"/>
  <c r="O17" i="4"/>
  <c r="O16" i="4"/>
  <c r="O15" i="4"/>
  <c r="O14" i="4"/>
  <c r="O13" i="4"/>
  <c r="O12" i="4"/>
  <c r="N18" i="4"/>
  <c r="M18" i="4"/>
  <c r="C18" i="4"/>
  <c r="N11" i="4"/>
  <c r="M11" i="4"/>
  <c r="C11" i="4"/>
  <c r="O32" i="5"/>
  <c r="Q32" i="5" s="1"/>
  <c r="C32" i="5"/>
  <c r="D32" i="5" s="1"/>
  <c r="O31" i="5"/>
  <c r="P31" i="5" s="1"/>
  <c r="C31" i="5"/>
  <c r="E31" i="5" s="1"/>
  <c r="O30" i="5"/>
  <c r="Q30" i="5" s="1"/>
  <c r="C30" i="5"/>
  <c r="D30" i="5" s="1"/>
  <c r="O29" i="5"/>
  <c r="P29" i="5" s="1"/>
  <c r="C29" i="5"/>
  <c r="E29" i="5" s="1"/>
  <c r="O28" i="5"/>
  <c r="Q28" i="5" s="1"/>
  <c r="C28" i="5"/>
  <c r="D28" i="5" s="1"/>
  <c r="P27" i="5"/>
  <c r="C27" i="5"/>
  <c r="E27" i="5" s="1"/>
  <c r="O26" i="5"/>
  <c r="Q26" i="5" s="1"/>
  <c r="C26" i="5"/>
  <c r="E26" i="5" s="1"/>
  <c r="C25" i="5"/>
  <c r="E25" i="5" s="1"/>
  <c r="Q24" i="5"/>
  <c r="C24" i="5"/>
  <c r="D24" i="5" s="1"/>
  <c r="O23" i="5"/>
  <c r="P23" i="5" s="1"/>
  <c r="C23" i="5"/>
  <c r="E23" i="5" s="1"/>
  <c r="O22" i="5"/>
  <c r="Q22" i="5" s="1"/>
  <c r="C22" i="5"/>
  <c r="D22" i="5" s="1"/>
  <c r="O21" i="5"/>
  <c r="Q21" i="5" s="1"/>
  <c r="C21" i="5"/>
  <c r="E21" i="5" s="1"/>
  <c r="O20" i="5"/>
  <c r="Q20" i="5" s="1"/>
  <c r="C20" i="5"/>
  <c r="D20" i="5" s="1"/>
  <c r="O19" i="5"/>
  <c r="P19" i="5" s="1"/>
  <c r="C19" i="5"/>
  <c r="E19" i="5" s="1"/>
  <c r="O18" i="5"/>
  <c r="Q18" i="5" s="1"/>
  <c r="C18" i="5"/>
  <c r="E18" i="5" s="1"/>
  <c r="O17" i="5"/>
  <c r="Q17" i="5" s="1"/>
  <c r="C17" i="5"/>
  <c r="E17" i="5" s="1"/>
  <c r="O16" i="5"/>
  <c r="Q16" i="5" s="1"/>
  <c r="C16" i="5"/>
  <c r="D16" i="5" s="1"/>
  <c r="O15" i="5"/>
  <c r="Q49" i="4" s="1"/>
  <c r="C15" i="5"/>
  <c r="E15" i="5" s="1"/>
  <c r="O14" i="5"/>
  <c r="Q14" i="5" s="1"/>
  <c r="C14" i="5"/>
  <c r="E14" i="5" s="1"/>
  <c r="O13" i="5"/>
  <c r="Q13" i="5" s="1"/>
  <c r="C13" i="5"/>
  <c r="E13" i="5" s="1"/>
  <c r="O12" i="5"/>
  <c r="Q12" i="5" s="1"/>
  <c r="C12" i="5"/>
  <c r="D12" i="5" s="1"/>
  <c r="O11" i="5"/>
  <c r="P11" i="5" s="1"/>
  <c r="C11" i="5"/>
  <c r="E11" i="5" s="1"/>
  <c r="U53" i="4"/>
  <c r="Y53" i="4" s="1"/>
  <c r="Q53" i="4"/>
  <c r="P53" i="4"/>
  <c r="AE53" i="4" s="1"/>
  <c r="O53" i="4"/>
  <c r="U52" i="4"/>
  <c r="Y52" i="4" s="1"/>
  <c r="AG52" i="4" s="1"/>
  <c r="Q52" i="4"/>
  <c r="P52" i="4"/>
  <c r="O52" i="4"/>
  <c r="U51" i="4"/>
  <c r="Y51" i="4" s="1"/>
  <c r="Q51" i="4"/>
  <c r="P51" i="4"/>
  <c r="O51" i="4"/>
  <c r="U50" i="4"/>
  <c r="Y50" i="4" s="1"/>
  <c r="Q50" i="4"/>
  <c r="P50" i="4"/>
  <c r="AE50" i="4" s="1"/>
  <c r="O50" i="4"/>
  <c r="U48" i="4"/>
  <c r="Y48" i="4" s="1"/>
  <c r="AG48" i="4" s="1"/>
  <c r="Q48" i="4"/>
  <c r="P48" i="4"/>
  <c r="AE48" i="4" s="1"/>
  <c r="O48" i="4"/>
  <c r="U47" i="4"/>
  <c r="Y47" i="4" s="1"/>
  <c r="Q47" i="4"/>
  <c r="P47" i="4"/>
  <c r="O47" i="4"/>
  <c r="U46" i="4"/>
  <c r="Y46" i="4" s="1"/>
  <c r="AG46" i="4" s="1"/>
  <c r="Q46" i="4"/>
  <c r="P46" i="4"/>
  <c r="AE46" i="4" s="1"/>
  <c r="O46" i="4"/>
  <c r="U45" i="4"/>
  <c r="Y45" i="4" s="1"/>
  <c r="Q45" i="4"/>
  <c r="P45" i="4"/>
  <c r="O45" i="4"/>
  <c r="U44" i="4"/>
  <c r="Y44" i="4" s="1"/>
  <c r="AG44" i="4" s="1"/>
  <c r="Q44" i="4"/>
  <c r="P44" i="4"/>
  <c r="O44" i="4"/>
  <c r="U43" i="4"/>
  <c r="Y43" i="4" s="1"/>
  <c r="Q43" i="4"/>
  <c r="P43" i="4"/>
  <c r="O43" i="4"/>
  <c r="U42" i="4"/>
  <c r="Y42" i="4" s="1"/>
  <c r="Q42" i="4"/>
  <c r="P42" i="4"/>
  <c r="AE42" i="4" s="1"/>
  <c r="O42" i="4"/>
  <c r="U41" i="4"/>
  <c r="Y41" i="4" s="1"/>
  <c r="Q41" i="4"/>
  <c r="P41" i="4"/>
  <c r="AE41" i="4" s="1"/>
  <c r="O41" i="4"/>
  <c r="U40" i="4"/>
  <c r="Y40" i="4" s="1"/>
  <c r="AH40" i="4" s="1"/>
  <c r="Q40" i="4"/>
  <c r="P40" i="4"/>
  <c r="O40" i="4"/>
  <c r="U39" i="4"/>
  <c r="Y39" i="4" s="1"/>
  <c r="Z39" i="4" s="1"/>
  <c r="Q39" i="4"/>
  <c r="P39" i="4"/>
  <c r="AE39" i="4" s="1"/>
  <c r="O39" i="4"/>
  <c r="U38" i="4"/>
  <c r="Y38" i="4" s="1"/>
  <c r="Q38" i="4"/>
  <c r="P38" i="4"/>
  <c r="AE38" i="4" s="1"/>
  <c r="O38" i="4"/>
  <c r="U37" i="4"/>
  <c r="Y37" i="4" s="1"/>
  <c r="AG37" i="4" s="1"/>
  <c r="Q37" i="4"/>
  <c r="P37" i="4"/>
  <c r="AE37" i="4" s="1"/>
  <c r="O37" i="4"/>
  <c r="U36" i="4"/>
  <c r="Q36" i="4"/>
  <c r="P36" i="4"/>
  <c r="O36" i="4"/>
  <c r="U35" i="4"/>
  <c r="Y35" i="4" s="1"/>
  <c r="Q35" i="4"/>
  <c r="P35" i="4"/>
  <c r="O35" i="4"/>
  <c r="U34" i="4"/>
  <c r="Y34" i="4" s="1"/>
  <c r="Z34" i="4" s="1"/>
  <c r="Q34" i="4"/>
  <c r="P34" i="4"/>
  <c r="AE34" i="4" s="1"/>
  <c r="O34" i="4"/>
  <c r="U33" i="4"/>
  <c r="Y33" i="4" s="1"/>
  <c r="AG33" i="4" s="1"/>
  <c r="Q33" i="4"/>
  <c r="P33" i="4"/>
  <c r="O33" i="4"/>
  <c r="U32" i="4"/>
  <c r="Y32" i="4" s="1"/>
  <c r="Q32" i="4"/>
  <c r="P32" i="4"/>
  <c r="O32" i="4"/>
  <c r="U31" i="4"/>
  <c r="Y31" i="4" s="1"/>
  <c r="AG31" i="4" s="1"/>
  <c r="Q31" i="4"/>
  <c r="P31" i="4"/>
  <c r="O31" i="4"/>
  <c r="U30" i="4"/>
  <c r="Y30" i="4" s="1"/>
  <c r="Q30" i="4"/>
  <c r="P30" i="4"/>
  <c r="AE30" i="4" s="1"/>
  <c r="O30" i="4"/>
  <c r="U29" i="4"/>
  <c r="Y29" i="4" s="1"/>
  <c r="AG29" i="4" s="1"/>
  <c r="Q29" i="4"/>
  <c r="P29" i="4"/>
  <c r="O29" i="4"/>
  <c r="U28" i="4"/>
  <c r="Y28" i="4" s="1"/>
  <c r="Q28" i="4"/>
  <c r="P28" i="4"/>
  <c r="O28" i="4"/>
  <c r="U27" i="4"/>
  <c r="Y27" i="4" s="1"/>
  <c r="Q27" i="4"/>
  <c r="P27" i="4"/>
  <c r="AE27" i="4" s="1"/>
  <c r="O27" i="4"/>
  <c r="U26" i="4"/>
  <c r="Y26" i="4" s="1"/>
  <c r="Q26" i="4"/>
  <c r="P26" i="4"/>
  <c r="O26" i="4"/>
  <c r="U25" i="4"/>
  <c r="Y25" i="4" s="1"/>
  <c r="AG25" i="4" s="1"/>
  <c r="Q25" i="4"/>
  <c r="P25" i="4"/>
  <c r="O25" i="4"/>
  <c r="U24" i="4"/>
  <c r="Y24" i="4" s="1"/>
  <c r="Z24" i="4" s="1"/>
  <c r="Q24" i="4"/>
  <c r="P24" i="4"/>
  <c r="AE24" i="4" s="1"/>
  <c r="O24" i="4"/>
  <c r="U23" i="4"/>
  <c r="Y23" i="4" s="1"/>
  <c r="AG23" i="4" s="1"/>
  <c r="Q23" i="4"/>
  <c r="P23" i="4"/>
  <c r="AE23" i="4" s="1"/>
  <c r="O23" i="4"/>
  <c r="U22" i="4"/>
  <c r="Y22" i="4" s="1"/>
  <c r="AG22" i="4" s="1"/>
  <c r="Q22" i="4"/>
  <c r="P22" i="4"/>
  <c r="O22" i="4"/>
  <c r="U21" i="4"/>
  <c r="Y21" i="4" s="1"/>
  <c r="AH21" i="4" s="1"/>
  <c r="Q21" i="4"/>
  <c r="P21" i="4"/>
  <c r="AE21" i="4" s="1"/>
  <c r="O21" i="4"/>
  <c r="U20" i="4"/>
  <c r="Y20" i="4" s="1"/>
  <c r="AI20" i="4" s="1"/>
  <c r="Q20" i="4"/>
  <c r="P20" i="4"/>
  <c r="AE20" i="4" s="1"/>
  <c r="O20" i="4"/>
  <c r="U19" i="4"/>
  <c r="Y19" i="4" s="1"/>
  <c r="Q19" i="4"/>
  <c r="P19" i="4"/>
  <c r="AE19" i="4" s="1"/>
  <c r="O19" i="4"/>
  <c r="U17" i="4"/>
  <c r="Y17" i="4" s="1"/>
  <c r="Z17" i="4" s="1"/>
  <c r="U16" i="4"/>
  <c r="Y16" i="4" s="1"/>
  <c r="AH16" i="4" s="1"/>
  <c r="U15" i="4"/>
  <c r="Y15" i="4" s="1"/>
  <c r="AH15" i="4" s="1"/>
  <c r="U14" i="4"/>
  <c r="Y14" i="4" s="1"/>
  <c r="AI14" i="4" s="1"/>
  <c r="U13" i="4"/>
  <c r="Y13" i="4" s="1"/>
  <c r="AI13" i="4" s="1"/>
  <c r="U12" i="4"/>
  <c r="Y12" i="4" s="1"/>
  <c r="U10" i="4"/>
  <c r="Y10" i="4" s="1"/>
  <c r="Q10" i="4"/>
  <c r="P10" i="4"/>
  <c r="AE10" i="4" s="1"/>
  <c r="O10" i="4"/>
  <c r="W7" i="4"/>
  <c r="I6" i="4"/>
  <c r="W5" i="4"/>
  <c r="Q25" i="5" l="1"/>
  <c r="P25" i="5"/>
  <c r="P11" i="4"/>
  <c r="AC17" i="1" s="1"/>
  <c r="AF8" i="1" s="1"/>
  <c r="Q11" i="5"/>
  <c r="AD24" i="4"/>
  <c r="Q23" i="5"/>
  <c r="Q11" i="4"/>
  <c r="AF17" i="1" s="1"/>
  <c r="E22" i="5"/>
  <c r="P21" i="5"/>
  <c r="AE25" i="4"/>
  <c r="Z25" i="4" s="1"/>
  <c r="AH25" i="4" s="1"/>
  <c r="AE47" i="4"/>
  <c r="Z47" i="4" s="1"/>
  <c r="AH47" i="4" s="1"/>
  <c r="E20" i="5"/>
  <c r="Q29" i="5"/>
  <c r="Q31" i="5"/>
  <c r="AD13" i="4"/>
  <c r="D18" i="5"/>
  <c r="AE28" i="4"/>
  <c r="Z28" i="4" s="1"/>
  <c r="AE33" i="4"/>
  <c r="Z33" i="4" s="1"/>
  <c r="AA33" i="4" s="1"/>
  <c r="AI33" i="4" s="1"/>
  <c r="AG40" i="4"/>
  <c r="AD51" i="4"/>
  <c r="AE36" i="4"/>
  <c r="AE26" i="4"/>
  <c r="Z26" i="4" s="1"/>
  <c r="AH26" i="4" s="1"/>
  <c r="E12" i="5"/>
  <c r="Q27" i="5"/>
  <c r="AE32" i="4"/>
  <c r="Z32" i="4" s="1"/>
  <c r="AD30" i="4"/>
  <c r="AD43" i="4"/>
  <c r="P17" i="5"/>
  <c r="Q18" i="4"/>
  <c r="AF18" i="1" s="1"/>
  <c r="AD32" i="4"/>
  <c r="AE43" i="4"/>
  <c r="Z43" i="4" s="1"/>
  <c r="AA43" i="4" s="1"/>
  <c r="AI43" i="4" s="1"/>
  <c r="AE45" i="4"/>
  <c r="Z45" i="4" s="1"/>
  <c r="AA45" i="4" s="1"/>
  <c r="AI45" i="4" s="1"/>
  <c r="AE52" i="4"/>
  <c r="Z52" i="4" s="1"/>
  <c r="AA52" i="4" s="1"/>
  <c r="AI52" i="4" s="1"/>
  <c r="P13" i="5"/>
  <c r="P15" i="5"/>
  <c r="Q19" i="5"/>
  <c r="D26" i="5"/>
  <c r="E28" i="5"/>
  <c r="E30" i="5"/>
  <c r="Q15" i="5"/>
  <c r="E24" i="5"/>
  <c r="E32" i="5"/>
  <c r="AD35" i="4"/>
  <c r="AD46" i="4"/>
  <c r="AE51" i="4"/>
  <c r="Z51" i="4" s="1"/>
  <c r="AH51" i="4" s="1"/>
  <c r="D14" i="5"/>
  <c r="E16" i="5"/>
  <c r="AE44" i="4"/>
  <c r="Z44" i="4" s="1"/>
  <c r="AA44" i="4" s="1"/>
  <c r="AI44" i="4" s="1"/>
  <c r="AD25" i="4"/>
  <c r="AE31" i="4"/>
  <c r="Z31" i="4" s="1"/>
  <c r="AA31" i="4" s="1"/>
  <c r="AI31" i="4" s="1"/>
  <c r="AD15" i="4"/>
  <c r="AD12" i="4"/>
  <c r="AD14" i="4"/>
  <c r="AG16" i="4"/>
  <c r="AA16" i="4"/>
  <c r="AI10" i="4"/>
  <c r="AG10" i="4"/>
  <c r="AH10" i="4"/>
  <c r="AA10" i="4"/>
  <c r="AA12" i="4"/>
  <c r="Z12" i="4"/>
  <c r="AH12" i="4"/>
  <c r="D13" i="5"/>
  <c r="D17" i="5"/>
  <c r="D21" i="5"/>
  <c r="D25" i="5"/>
  <c r="D29" i="5"/>
  <c r="AD29" i="4"/>
  <c r="AD34" i="4"/>
  <c r="AE35" i="4"/>
  <c r="Z35" i="4" s="1"/>
  <c r="AA35" i="4" s="1"/>
  <c r="AI35" i="4" s="1"/>
  <c r="Y36" i="4"/>
  <c r="AD39" i="4"/>
  <c r="AD50" i="4"/>
  <c r="P14" i="5"/>
  <c r="P18" i="5"/>
  <c r="P22" i="5"/>
  <c r="P26" i="5"/>
  <c r="P30" i="5"/>
  <c r="AD17" i="4"/>
  <c r="AD23" i="4"/>
  <c r="AD28" i="4"/>
  <c r="AE29" i="4"/>
  <c r="Z29" i="4" s="1"/>
  <c r="AD33" i="4"/>
  <c r="AD47" i="4"/>
  <c r="AD20" i="4"/>
  <c r="AD37" i="4"/>
  <c r="AA39" i="4"/>
  <c r="D11" i="5"/>
  <c r="D15" i="5"/>
  <c r="D19" i="5"/>
  <c r="D23" i="5"/>
  <c r="D27" i="5"/>
  <c r="D31" i="5"/>
  <c r="AD27" i="4"/>
  <c r="AD31" i="4"/>
  <c r="AD36" i="4"/>
  <c r="AD41" i="4"/>
  <c r="AD45" i="4"/>
  <c r="AD53" i="4"/>
  <c r="P12" i="5"/>
  <c r="P16" i="5"/>
  <c r="P20" i="5"/>
  <c r="P24" i="5"/>
  <c r="P28" i="5"/>
  <c r="P32" i="5"/>
  <c r="AD19" i="4"/>
  <c r="AD26" i="4"/>
  <c r="AD38" i="4"/>
  <c r="AH39" i="4"/>
  <c r="AD52" i="4"/>
  <c r="AH38" i="4"/>
  <c r="AG38" i="4"/>
  <c r="AA38" i="4"/>
  <c r="Z38" i="4"/>
  <c r="AI38" i="4"/>
  <c r="AG43" i="4"/>
  <c r="AA50" i="4"/>
  <c r="Z50" i="4"/>
  <c r="AI50" i="4"/>
  <c r="AH50" i="4"/>
  <c r="AA14" i="4"/>
  <c r="AA21" i="4"/>
  <c r="Z22" i="4"/>
  <c r="AI30" i="4"/>
  <c r="AH30" i="4"/>
  <c r="AG30" i="4"/>
  <c r="AA30" i="4"/>
  <c r="AA42" i="4"/>
  <c r="Z42" i="4"/>
  <c r="AI42" i="4"/>
  <c r="AH42" i="4"/>
  <c r="AG13" i="4"/>
  <c r="Z15" i="4"/>
  <c r="AI19" i="4"/>
  <c r="AH19" i="4"/>
  <c r="AG19" i="4"/>
  <c r="AA19" i="4"/>
  <c r="AA22" i="4"/>
  <c r="Z30" i="4"/>
  <c r="AA37" i="4"/>
  <c r="Z37" i="4"/>
  <c r="AI37" i="4"/>
  <c r="AH37" i="4"/>
  <c r="AA40" i="4"/>
  <c r="AI40" i="4"/>
  <c r="AI41" i="4"/>
  <c r="AH41" i="4"/>
  <c r="AG41" i="4"/>
  <c r="AA41" i="4"/>
  <c r="AG50" i="4"/>
  <c r="Z10" i="4"/>
  <c r="AH14" i="4"/>
  <c r="AA15" i="4"/>
  <c r="Z16" i="4"/>
  <c r="AI16" i="4"/>
  <c r="Z19" i="4"/>
  <c r="AG28" i="4"/>
  <c r="Z40" i="4"/>
  <c r="Z41" i="4"/>
  <c r="AG42" i="4"/>
  <c r="AD44" i="4"/>
  <c r="AA48" i="4"/>
  <c r="Z48" i="4"/>
  <c r="AI48" i="4"/>
  <c r="AH48" i="4"/>
  <c r="AG47" i="4"/>
  <c r="AI12" i="4"/>
  <c r="AG12" i="4"/>
  <c r="AG15" i="4"/>
  <c r="AD21" i="4"/>
  <c r="AG26" i="4"/>
  <c r="AI34" i="4"/>
  <c r="AH34" i="4"/>
  <c r="AG34" i="4"/>
  <c r="AA34" i="4"/>
  <c r="AD42" i="4"/>
  <c r="AA46" i="4"/>
  <c r="Z46" i="4"/>
  <c r="AI46" i="4"/>
  <c r="AH46" i="4"/>
  <c r="AI53" i="4"/>
  <c r="AH53" i="4"/>
  <c r="AG53" i="4"/>
  <c r="AA53" i="4"/>
  <c r="AG21" i="4"/>
  <c r="Z21" i="4"/>
  <c r="AA23" i="4"/>
  <c r="Z23" i="4"/>
  <c r="AI23" i="4"/>
  <c r="AH23" i="4"/>
  <c r="AI17" i="4"/>
  <c r="AH17" i="4"/>
  <c r="AG17" i="4"/>
  <c r="AA17" i="4"/>
  <c r="AI21" i="4"/>
  <c r="AA27" i="4"/>
  <c r="Z27" i="4"/>
  <c r="AI27" i="4"/>
  <c r="AH27" i="4"/>
  <c r="AA13" i="4"/>
  <c r="AH13" i="4"/>
  <c r="AI15" i="4"/>
  <c r="AE22" i="4"/>
  <c r="AD22" i="4"/>
  <c r="AG27" i="4"/>
  <c r="AG35" i="4"/>
  <c r="AG45" i="4"/>
  <c r="Z53" i="4"/>
  <c r="AG14" i="4"/>
  <c r="Z14" i="4"/>
  <c r="AI22" i="4"/>
  <c r="AH22" i="4"/>
  <c r="AE40" i="4"/>
  <c r="AD40" i="4"/>
  <c r="AA20" i="4"/>
  <c r="Z20" i="4"/>
  <c r="AH20" i="4"/>
  <c r="AG20" i="4"/>
  <c r="AD10" i="4"/>
  <c r="Z13" i="4"/>
  <c r="AD16" i="4"/>
  <c r="AI24" i="4"/>
  <c r="AH24" i="4"/>
  <c r="AG24" i="4"/>
  <c r="AA24" i="4"/>
  <c r="AG32" i="4"/>
  <c r="AD48" i="4"/>
  <c r="AG51" i="4"/>
  <c r="AG39" i="4"/>
  <c r="AI39" i="4"/>
  <c r="O11" i="4" l="1"/>
  <c r="Z17" i="1" s="1"/>
  <c r="R18" i="7"/>
  <c r="AH32" i="4"/>
  <c r="AA32" i="4"/>
  <c r="AI32" i="4" s="1"/>
  <c r="Z36" i="4"/>
  <c r="AA36" i="4" s="1"/>
  <c r="AI36" i="4" s="1"/>
  <c r="AA28" i="4"/>
  <c r="AI28" i="4" s="1"/>
  <c r="AH28" i="4"/>
  <c r="AG36" i="4"/>
  <c r="AA51" i="4"/>
  <c r="AI51" i="4" s="1"/>
  <c r="O49" i="4"/>
  <c r="O18" i="4"/>
  <c r="AA26" i="4"/>
  <c r="AI26" i="4" s="1"/>
  <c r="P49" i="4"/>
  <c r="P18" i="4"/>
  <c r="AA29" i="4"/>
  <c r="AI29" i="4" s="1"/>
  <c r="AH29" i="4"/>
  <c r="AH31" i="4"/>
  <c r="AH45" i="4"/>
  <c r="AA47" i="4"/>
  <c r="AI47" i="4" s="1"/>
  <c r="AH43" i="4"/>
  <c r="AH52" i="4"/>
  <c r="AH44" i="4"/>
  <c r="AH33" i="4"/>
  <c r="AA25" i="4"/>
  <c r="AI25" i="4" s="1"/>
  <c r="AH35" i="4"/>
  <c r="R22" i="7" l="1"/>
  <c r="AC18" i="1"/>
  <c r="AF10" i="1" s="1"/>
  <c r="U18" i="4"/>
  <c r="M41" i="1" s="1"/>
  <c r="M42" i="1" s="1"/>
  <c r="Z18" i="1"/>
  <c r="AI8" i="1"/>
  <c r="E35" i="1"/>
  <c r="U11" i="4"/>
  <c r="M36" i="1" s="1"/>
  <c r="M37" i="1" s="1"/>
  <c r="AD11" i="4"/>
  <c r="Q18" i="7"/>
  <c r="S18" i="7" s="1"/>
  <c r="BA19" i="7" s="1"/>
  <c r="AH36" i="4"/>
  <c r="AD18" i="4"/>
  <c r="AD49" i="4"/>
  <c r="U49" i="4"/>
  <c r="AI10" i="1" l="1"/>
  <c r="E40" i="1"/>
  <c r="AE11" i="4"/>
  <c r="E36" i="1"/>
  <c r="E37" i="1" s="1"/>
  <c r="H35" i="1"/>
  <c r="R35" i="1"/>
  <c r="Y11" i="4"/>
  <c r="BA18" i="7"/>
  <c r="BA20" i="7"/>
  <c r="AV20" i="7" s="1"/>
  <c r="AV21" i="7" s="1"/>
  <c r="BA21" i="7"/>
  <c r="H40" i="1"/>
  <c r="Q22" i="7"/>
  <c r="S22" i="7" s="1"/>
  <c r="AL20" i="7" s="1"/>
  <c r="AE49" i="4"/>
  <c r="Y49" i="4"/>
  <c r="Y18" i="4"/>
  <c r="Z41" i="1" s="1"/>
  <c r="AE18" i="4"/>
  <c r="AQ18" i="7" l="1"/>
  <c r="X21" i="7" s="1"/>
  <c r="AL4" i="7"/>
  <c r="AN20" i="7"/>
  <c r="AN21" i="7"/>
  <c r="Z42" i="1"/>
  <c r="AF40" i="1"/>
  <c r="R40" i="1"/>
  <c r="E41" i="1"/>
  <c r="E42" i="1" s="1"/>
  <c r="AG11" i="4"/>
  <c r="Z36" i="1"/>
  <c r="AC37" i="1" s="1"/>
  <c r="AF35" i="1"/>
  <c r="K30" i="1"/>
  <c r="U19" i="7"/>
  <c r="U21" i="7"/>
  <c r="Z11" i="4"/>
  <c r="H15" i="4" s="1"/>
  <c r="P4" i="4"/>
  <c r="U18" i="7"/>
  <c r="H14" i="4"/>
  <c r="K11" i="1"/>
  <c r="AQ19" i="7"/>
  <c r="AN19" i="7"/>
  <c r="E26" i="1"/>
  <c r="AN18" i="7"/>
  <c r="L21" i="7"/>
  <c r="U20" i="7"/>
  <c r="H21" i="4"/>
  <c r="BA25" i="7"/>
  <c r="BA24" i="7"/>
  <c r="BA22" i="7"/>
  <c r="BA23" i="7"/>
  <c r="AH11" i="4"/>
  <c r="AG18" i="4"/>
  <c r="Z18" i="4"/>
  <c r="AC41" i="1" s="1"/>
  <c r="T4" i="4"/>
  <c r="AG49" i="4"/>
  <c r="Z49" i="4"/>
  <c r="AH49" i="4" s="1"/>
  <c r="H16" i="4"/>
  <c r="AA11" i="4"/>
  <c r="M19" i="7" l="1"/>
  <c r="R11" i="1" s="1"/>
  <c r="L2" i="4"/>
  <c r="N30" i="1"/>
  <c r="AF30" i="1"/>
  <c r="AI30" i="1" s="1"/>
  <c r="F30" i="1"/>
  <c r="AF36" i="1"/>
  <c r="AF37" i="1" s="1"/>
  <c r="AC36" i="1"/>
  <c r="Z37" i="1"/>
  <c r="E27" i="1"/>
  <c r="P5" i="4"/>
  <c r="P6" i="4" s="1"/>
  <c r="P3" i="4" s="1"/>
  <c r="AY21" i="7"/>
  <c r="V18" i="7"/>
  <c r="V20" i="7" s="1"/>
  <c r="AQ20" i="7" s="1"/>
  <c r="AY20" i="7"/>
  <c r="AB21" i="7"/>
  <c r="AD21" i="7"/>
  <c r="T26" i="1" s="1"/>
  <c r="Z21" i="7"/>
  <c r="J26" i="1" s="1"/>
  <c r="AC42" i="1"/>
  <c r="AA18" i="4"/>
  <c r="AF41" i="1" s="1"/>
  <c r="AF42" i="1" s="1"/>
  <c r="H26" i="1"/>
  <c r="AQ22" i="7"/>
  <c r="AB25" i="7" s="1"/>
  <c r="AN22" i="7"/>
  <c r="AQ23" i="7"/>
  <c r="AN24" i="7"/>
  <c r="AN23" i="7"/>
  <c r="AN25" i="7"/>
  <c r="U23" i="7"/>
  <c r="AV24" i="7"/>
  <c r="AV25" i="7" s="1"/>
  <c r="AV29" i="7" s="1"/>
  <c r="AV33" i="7" s="1"/>
  <c r="AV37" i="7" s="1"/>
  <c r="AV41" i="7" s="1"/>
  <c r="AV45" i="7" s="1"/>
  <c r="AV49" i="7" s="1"/>
  <c r="AV53" i="7" s="1"/>
  <c r="AV57" i="7" s="1"/>
  <c r="AV61" i="7" s="1"/>
  <c r="AV65" i="7" s="1"/>
  <c r="U25" i="7"/>
  <c r="U24" i="7"/>
  <c r="U22" i="7"/>
  <c r="AH18" i="4"/>
  <c r="L3" i="4" s="1"/>
  <c r="AI11" i="4"/>
  <c r="H22" i="4"/>
  <c r="T5" i="4"/>
  <c r="AA49" i="4"/>
  <c r="AI49" i="4" s="1"/>
  <c r="H23" i="4"/>
  <c r="AY18" i="7" l="1"/>
  <c r="AO20" i="7" s="1"/>
  <c r="V21" i="7"/>
  <c r="AQ21" i="7" s="1"/>
  <c r="U40" i="1"/>
  <c r="U35" i="1"/>
  <c r="W26" i="1"/>
  <c r="O26" i="1"/>
  <c r="AY19" i="7"/>
  <c r="AO21" i="7" s="1"/>
  <c r="H13" i="4"/>
  <c r="P7" i="4"/>
  <c r="AP20" i="7"/>
  <c r="AG21" i="7" s="1"/>
  <c r="V22" i="7"/>
  <c r="V24" i="7" s="1"/>
  <c r="AD25" i="7"/>
  <c r="AB26" i="1" s="1"/>
  <c r="AI18" i="4"/>
  <c r="H20" i="4" s="1"/>
  <c r="T6" i="4"/>
  <c r="T3" i="4" s="1"/>
  <c r="J52" i="3"/>
  <c r="E52" i="3"/>
  <c r="J51" i="3"/>
  <c r="E51" i="3"/>
  <c r="J50" i="3"/>
  <c r="E50" i="3"/>
  <c r="J49" i="3"/>
  <c r="E49" i="3"/>
  <c r="J48" i="3"/>
  <c r="E48" i="3"/>
  <c r="J47" i="3"/>
  <c r="E47" i="3"/>
  <c r="J46" i="3"/>
  <c r="E46" i="3"/>
  <c r="J45" i="3"/>
  <c r="E45" i="3"/>
  <c r="J44" i="3"/>
  <c r="E44" i="3"/>
  <c r="J43" i="3"/>
  <c r="E43" i="3"/>
  <c r="J42" i="3"/>
  <c r="E42" i="3"/>
  <c r="J41" i="3"/>
  <c r="E41" i="3"/>
  <c r="J40" i="3"/>
  <c r="E40" i="3"/>
  <c r="J39" i="3"/>
  <c r="E39" i="3"/>
  <c r="J38" i="3"/>
  <c r="E38" i="3"/>
  <c r="T34" i="3"/>
  <c r="O34" i="3"/>
  <c r="J34" i="3"/>
  <c r="E34" i="3"/>
  <c r="T33" i="3"/>
  <c r="O33" i="3"/>
  <c r="J33" i="3"/>
  <c r="E33" i="3"/>
  <c r="T32" i="3"/>
  <c r="O32" i="3"/>
  <c r="J32" i="3"/>
  <c r="E32" i="3"/>
  <c r="T31" i="3"/>
  <c r="O31" i="3"/>
  <c r="J31" i="3"/>
  <c r="E31" i="3"/>
  <c r="T30" i="3"/>
  <c r="O30" i="3"/>
  <c r="J30" i="3"/>
  <c r="E30" i="3"/>
  <c r="T29" i="3"/>
  <c r="O29" i="3"/>
  <c r="J29" i="3"/>
  <c r="E29" i="3"/>
  <c r="T28" i="3"/>
  <c r="O28" i="3"/>
  <c r="J28" i="3"/>
  <c r="E28" i="3"/>
  <c r="T27" i="3"/>
  <c r="O27" i="3"/>
  <c r="J27" i="3"/>
  <c r="E27" i="3"/>
  <c r="T26" i="3"/>
  <c r="O26" i="3"/>
  <c r="J26" i="3"/>
  <c r="E26" i="3"/>
  <c r="T25" i="3"/>
  <c r="O25" i="3"/>
  <c r="J25" i="3"/>
  <c r="E25" i="3"/>
  <c r="T24" i="3"/>
  <c r="O24" i="3"/>
  <c r="J24" i="3"/>
  <c r="E24" i="3"/>
  <c r="T23" i="3"/>
  <c r="O23" i="3"/>
  <c r="J23" i="3"/>
  <c r="E23" i="3"/>
  <c r="T22" i="3"/>
  <c r="O22" i="3"/>
  <c r="J22" i="3"/>
  <c r="E22" i="3"/>
  <c r="T21" i="3"/>
  <c r="O21" i="3"/>
  <c r="J21" i="3"/>
  <c r="E21" i="3"/>
  <c r="T20" i="3"/>
  <c r="O20" i="3"/>
  <c r="J20" i="3"/>
  <c r="E20" i="3"/>
  <c r="T16" i="3"/>
  <c r="O16" i="3"/>
  <c r="J16" i="3"/>
  <c r="E16" i="3"/>
  <c r="T15" i="3"/>
  <c r="O15" i="3"/>
  <c r="J15" i="3"/>
  <c r="E15" i="3"/>
  <c r="T14" i="3"/>
  <c r="O14" i="3"/>
  <c r="J14" i="3"/>
  <c r="E14" i="3"/>
  <c r="T13" i="3"/>
  <c r="O13" i="3"/>
  <c r="J13" i="3"/>
  <c r="E13" i="3"/>
  <c r="T12" i="3"/>
  <c r="O12" i="3"/>
  <c r="J12" i="3"/>
  <c r="E12" i="3"/>
  <c r="T11" i="3"/>
  <c r="O11" i="3"/>
  <c r="J11" i="3"/>
  <c r="E11" i="3"/>
  <c r="T10" i="3"/>
  <c r="O10" i="3"/>
  <c r="J10" i="3"/>
  <c r="E10" i="3"/>
  <c r="T9" i="3"/>
  <c r="O9" i="3"/>
  <c r="J9" i="3"/>
  <c r="E9" i="3"/>
  <c r="T8" i="3"/>
  <c r="O8" i="3"/>
  <c r="J8" i="3"/>
  <c r="E8" i="3"/>
  <c r="T7" i="3"/>
  <c r="O7" i="3"/>
  <c r="J7" i="3"/>
  <c r="E7" i="3"/>
  <c r="T6" i="3"/>
  <c r="O6" i="3"/>
  <c r="J6" i="3"/>
  <c r="E6" i="3"/>
  <c r="T5" i="3"/>
  <c r="O5" i="3"/>
  <c r="J5" i="3"/>
  <c r="E5" i="3"/>
  <c r="T4" i="3"/>
  <c r="O4" i="3"/>
  <c r="J4" i="3"/>
  <c r="E4" i="3"/>
  <c r="AP21" i="7" l="1"/>
  <c r="AI21" i="7" s="1"/>
  <c r="W27" i="1"/>
  <c r="AA26" i="1"/>
  <c r="O27" i="1"/>
  <c r="S26" i="1"/>
  <c r="L4" i="4"/>
  <c r="W20" i="7"/>
  <c r="H36" i="1" s="1"/>
  <c r="H37" i="1" s="1"/>
  <c r="AS18" i="7"/>
  <c r="AS19" i="7"/>
  <c r="AQ24" i="7"/>
  <c r="V25" i="7"/>
  <c r="AQ25" i="7" s="1"/>
  <c r="AP24" i="7" s="1"/>
  <c r="AG25" i="7" s="1"/>
  <c r="T7" i="4"/>
  <c r="B7" i="4"/>
  <c r="AS22" i="7" l="1"/>
  <c r="AS24" i="7" s="1"/>
  <c r="AT24" i="7" s="1"/>
  <c r="AT22" i="7" s="1"/>
  <c r="AP25" i="7"/>
  <c r="W24" i="7" s="1"/>
  <c r="H41" i="1" s="1"/>
  <c r="H42" i="1" s="1"/>
  <c r="AI25" i="7" l="1"/>
  <c r="AS23" i="7"/>
  <c r="AS25" i="7" s="1"/>
  <c r="AT25" i="7" s="1"/>
  <c r="AT23" i="7" s="1"/>
  <c r="AW23" i="7" s="1"/>
  <c r="J27" i="1"/>
  <c r="AW22" i="7" l="1"/>
  <c r="AS20" i="7"/>
  <c r="AT20" i="7" s="1"/>
  <c r="AT18" i="7" s="1"/>
  <c r="AS21" i="7"/>
  <c r="AT21" i="7" s="1"/>
  <c r="AT19" i="7" s="1"/>
  <c r="T27" i="1"/>
  <c r="AB27" i="1"/>
  <c r="AS17" i="7" l="1"/>
  <c r="AT17" i="7" s="1"/>
  <c r="AT15" i="7" s="1"/>
  <c r="AW15" i="7" s="1"/>
  <c r="AW18" i="7"/>
  <c r="AW20" i="7" s="1"/>
  <c r="AW19" i="7"/>
  <c r="AW21" i="7" s="1"/>
  <c r="AS16" i="7"/>
  <c r="AT16" i="7" s="1"/>
  <c r="AT14" i="7" s="1"/>
  <c r="AW14" i="7" s="1"/>
  <c r="AX20" i="7" l="1"/>
  <c r="AX24" i="7" s="1"/>
  <c r="AX28" i="7" s="1"/>
  <c r="AX32" i="7" s="1"/>
  <c r="AX36" i="7" s="1"/>
  <c r="AX40" i="7" s="1"/>
  <c r="AX44" i="7" s="1"/>
  <c r="AX48" i="7" s="1"/>
  <c r="AX52" i="7" s="1"/>
  <c r="AX56" i="7" s="1"/>
  <c r="AX60" i="7" s="1"/>
  <c r="AX64" i="7" s="1"/>
  <c r="AF18" i="7" l="1"/>
  <c r="AI19" i="7"/>
  <c r="AF9" i="1"/>
  <c r="AF7" i="1"/>
  <c r="AM21" i="7" l="1"/>
  <c r="N11" i="1" s="1"/>
  <c r="AL21" i="7"/>
  <c r="AX18" i="7"/>
  <c r="AF21" i="7" s="1"/>
  <c r="AF22" i="7"/>
  <c r="AF26" i="7" s="1"/>
  <c r="AF19" i="7"/>
  <c r="AF20" i="7"/>
  <c r="T9" i="1"/>
  <c r="K7" i="1"/>
  <c r="T7" i="1"/>
  <c r="AG18" i="7" l="1"/>
  <c r="U36" i="1" s="1"/>
  <c r="U37" i="1" s="1"/>
  <c r="AX22" i="7"/>
  <c r="AF25" i="7" s="1"/>
  <c r="AF30" i="7"/>
  <c r="AG1" i="1"/>
  <c r="AF24" i="7" l="1"/>
  <c r="AF23" i="7"/>
  <c r="AG20" i="7"/>
  <c r="AG19" i="7"/>
  <c r="AI18" i="7"/>
  <c r="R36" i="1" s="1"/>
  <c r="R37" i="1" s="1"/>
  <c r="AG22" i="7"/>
  <c r="AF28" i="7" s="1"/>
  <c r="AF31" i="7"/>
  <c r="AF32" i="7"/>
  <c r="AF34" i="7"/>
  <c r="K31" i="1" l="1"/>
  <c r="K32" i="1" s="1"/>
  <c r="AI23" i="7"/>
  <c r="AF27" i="7"/>
  <c r="AG23" i="7"/>
  <c r="AI22" i="7"/>
  <c r="R41" i="1" s="1"/>
  <c r="AG24" i="7"/>
  <c r="U41" i="1"/>
  <c r="U42" i="1" s="1"/>
  <c r="AF35" i="7"/>
  <c r="AF36" i="7"/>
  <c r="AF38" i="7"/>
  <c r="R42" i="1" l="1"/>
  <c r="N31" i="1"/>
  <c r="N32" i="1" s="1"/>
  <c r="AF31" i="1"/>
  <c r="F31" i="1"/>
  <c r="F32" i="1" s="1"/>
  <c r="AF42" i="7"/>
  <c r="AF39" i="7"/>
  <c r="AF40" i="7"/>
  <c r="AI31" i="1" l="1"/>
  <c r="AI32" i="1" s="1"/>
  <c r="AF32" i="1"/>
  <c r="AF46" i="7"/>
  <c r="AF44" i="7"/>
  <c r="AF43" i="7"/>
  <c r="AF50" i="7" l="1"/>
  <c r="AF48" i="7"/>
  <c r="AF47" i="7"/>
  <c r="AF52" i="7" l="1"/>
  <c r="AF54" i="7"/>
  <c r="AF51" i="7"/>
  <c r="AF58" i="7" l="1"/>
  <c r="AF56" i="7"/>
  <c r="AF55" i="7"/>
  <c r="AF62" i="7" l="1"/>
  <c r="AF60" i="7"/>
  <c r="AF59" i="7"/>
  <c r="AF63" i="7" l="1"/>
  <c r="AF64" i="7"/>
</calcChain>
</file>

<file path=xl/comments1.xml><?xml version="1.0" encoding="utf-8"?>
<comments xmlns="http://schemas.openxmlformats.org/spreadsheetml/2006/main">
  <authors>
    <author>ESE SERVICE</author>
    <author>ＥＳＥ　ＳＥＲＶＩＣＥ</author>
  </authors>
  <commentList>
    <comment ref="L3" authorId="0">
      <text>
        <r>
          <rPr>
            <b/>
            <sz val="20"/>
            <color indexed="12"/>
            <rFont val="ＭＳ 明朝"/>
            <family val="1"/>
            <charset val="128"/>
          </rPr>
          <t xml:space="preserve"> </t>
        </r>
        <r>
          <rPr>
            <b/>
            <sz val="16"/>
            <color indexed="12"/>
            <rFont val="ＭＳ 明朝"/>
            <family val="1"/>
            <charset val="128"/>
          </rPr>
          <t xml:space="preserve">単独幹線および分岐幹線の定常時におけ
 る送電端，受電端電圧、負荷電流、力率
 の確認，進相コンデンサ容量の決定等に
 ご利用できます。
</t>
        </r>
        <r>
          <rPr>
            <sz val="11"/>
            <color indexed="81"/>
            <rFont val="ＭＳ 明朝"/>
            <family val="1"/>
            <charset val="128"/>
          </rPr>
          <t xml:space="preserve">　 </t>
        </r>
        <r>
          <rPr>
            <sz val="11"/>
            <color indexed="81"/>
            <rFont val="ＭＳ Ｐゴシック"/>
            <family val="3"/>
            <charset val="128"/>
          </rPr>
          <t xml:space="preserve">コメント文 </t>
        </r>
        <r>
          <rPr>
            <sz val="16"/>
            <color indexed="47"/>
            <rFont val="ＭＳ Ｐゴシック"/>
            <family val="3"/>
            <charset val="128"/>
          </rPr>
          <t>■</t>
        </r>
        <r>
          <rPr>
            <sz val="11"/>
            <color indexed="81"/>
            <rFont val="ＭＳ Ｐゴシック"/>
            <family val="3"/>
            <charset val="128"/>
          </rPr>
          <t xml:space="preserve"> は、入力が、必要な”セル”です。
　  　　　　      </t>
        </r>
        <r>
          <rPr>
            <sz val="16"/>
            <color indexed="44"/>
            <rFont val="ＭＳ Ｐゴシック"/>
            <family val="3"/>
            <charset val="128"/>
          </rPr>
          <t xml:space="preserve">■ </t>
        </r>
        <r>
          <rPr>
            <sz val="11"/>
            <color indexed="81"/>
            <rFont val="ＭＳ Ｐゴシック"/>
            <family val="3"/>
            <charset val="128"/>
          </rPr>
          <t>は、コピ－が可能な”セル”です。
　　  　　　　  　</t>
        </r>
        <r>
          <rPr>
            <sz val="16"/>
            <color indexed="26"/>
            <rFont val="ＭＳ Ｐゴシック"/>
            <family val="3"/>
            <charset val="128"/>
          </rPr>
          <t>■</t>
        </r>
        <r>
          <rPr>
            <sz val="11"/>
            <color indexed="43"/>
            <rFont val="ＭＳ Ｐゴシック"/>
            <family val="3"/>
            <charset val="128"/>
          </rPr>
          <t xml:space="preserve"> </t>
        </r>
        <r>
          <rPr>
            <sz val="11"/>
            <color indexed="81"/>
            <rFont val="ＭＳ Ｐゴシック"/>
            <family val="3"/>
            <charset val="128"/>
          </rPr>
          <t xml:space="preserve">は、ご説明文等です。
　　 入力セル </t>
        </r>
        <r>
          <rPr>
            <sz val="16"/>
            <color indexed="43"/>
            <rFont val="ＭＳ Ｐゴシック"/>
            <family val="3"/>
            <charset val="128"/>
          </rPr>
          <t>■</t>
        </r>
        <r>
          <rPr>
            <sz val="11"/>
            <color indexed="81"/>
            <rFont val="ＭＳ Ｐゴシック"/>
            <family val="3"/>
            <charset val="128"/>
          </rPr>
          <t xml:space="preserve"> は、</t>
        </r>
        <r>
          <rPr>
            <sz val="10"/>
            <color indexed="81"/>
            <rFont val="ＭＳ Ｐゴシック"/>
            <family val="3"/>
            <charset val="128"/>
          </rPr>
          <t>必要事項を入力して下さい。</t>
        </r>
        <r>
          <rPr>
            <sz val="11"/>
            <color indexed="81"/>
            <rFont val="ＭＳ Ｐゴシック"/>
            <family val="3"/>
            <charset val="128"/>
          </rPr>
          <t xml:space="preserve">
　　 計算セル </t>
        </r>
        <r>
          <rPr>
            <sz val="16"/>
            <color indexed="9"/>
            <rFont val="ＭＳ Ｐゴシック"/>
            <family val="3"/>
            <charset val="128"/>
          </rPr>
          <t>■</t>
        </r>
        <r>
          <rPr>
            <sz val="11"/>
            <color indexed="81"/>
            <rFont val="ＭＳ Ｐゴシック"/>
            <family val="3"/>
            <charset val="128"/>
          </rPr>
          <t xml:space="preserve"> は、</t>
        </r>
        <r>
          <rPr>
            <sz val="10"/>
            <color indexed="81"/>
            <rFont val="ＭＳ Ｐゴシック"/>
            <family val="3"/>
            <charset val="128"/>
          </rPr>
          <t>自動計算しますので、入力はできません。</t>
        </r>
      </text>
    </comment>
    <comment ref="N6" authorId="0">
      <text>
        <r>
          <rPr>
            <b/>
            <sz val="16"/>
            <color indexed="81"/>
            <rFont val="ＭＳ Ｐゴシック"/>
            <family val="3"/>
            <charset val="128"/>
          </rPr>
          <t xml:space="preserve"> </t>
        </r>
        <r>
          <rPr>
            <b/>
            <sz val="11"/>
            <color indexed="81"/>
            <rFont val="ＭＳ Ｐゴシック"/>
            <family val="3"/>
            <charset val="128"/>
          </rPr>
          <t>……</t>
        </r>
        <r>
          <rPr>
            <b/>
            <sz val="11"/>
            <color indexed="10"/>
            <rFont val="ＭＳ Ｐゴシック"/>
            <family val="3"/>
            <charset val="128"/>
          </rPr>
          <t>高圧進相コンデンサ</t>
        </r>
        <r>
          <rPr>
            <sz val="10"/>
            <color indexed="12"/>
            <rFont val="ＭＳ Ｐゴシック"/>
            <family val="3"/>
            <charset val="128"/>
          </rPr>
          <t>［ニチコン（株）1991.5］</t>
        </r>
        <r>
          <rPr>
            <b/>
            <sz val="10"/>
            <color indexed="81"/>
            <rFont val="ＭＳ Ｐゴシック"/>
            <family val="3"/>
            <charset val="128"/>
          </rPr>
          <t>……</t>
        </r>
        <r>
          <rPr>
            <b/>
            <sz val="9"/>
            <color indexed="81"/>
            <rFont val="ＭＳ Ｐゴシック"/>
            <family val="3"/>
            <charset val="128"/>
          </rPr>
          <t xml:space="preserve">
</t>
        </r>
        <r>
          <rPr>
            <b/>
            <sz val="2"/>
            <color indexed="81"/>
            <rFont val="ＭＳ Ｐゴシック"/>
            <family val="3"/>
            <charset val="128"/>
          </rPr>
          <t xml:space="preserve">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t>
        </r>
        <r>
          <rPr>
            <b/>
            <sz val="9"/>
            <color indexed="81"/>
            <rFont val="ＭＳ Ｐゴシック"/>
            <family val="3"/>
            <charset val="128"/>
          </rPr>
          <t xml:space="preserve"> </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６％</t>
        </r>
        <r>
          <rPr>
            <sz val="10"/>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75,100,150,200,250,300,400,500,600,
 　 </t>
        </r>
        <r>
          <rPr>
            <b/>
            <sz val="9"/>
            <color indexed="55"/>
            <rFont val="ＭＳ ゴシック"/>
            <family val="3"/>
            <charset val="128"/>
          </rPr>
          <t>700</t>
        </r>
        <r>
          <rPr>
            <b/>
            <sz val="9"/>
            <color indexed="81"/>
            <rFont val="ＭＳ ゴシック"/>
            <family val="3"/>
            <charset val="128"/>
          </rPr>
          <t>,750,</t>
        </r>
        <r>
          <rPr>
            <b/>
            <sz val="9"/>
            <color indexed="55"/>
            <rFont val="ＭＳ ゴシック"/>
            <family val="3"/>
            <charset val="128"/>
          </rPr>
          <t>800</t>
        </r>
        <r>
          <rPr>
            <b/>
            <sz val="9"/>
            <color indexed="81"/>
            <rFont val="ＭＳ ゴシック"/>
            <family val="3"/>
            <charset val="128"/>
          </rPr>
          <t>,</t>
        </r>
        <r>
          <rPr>
            <b/>
            <sz val="9"/>
            <color indexed="55"/>
            <rFont val="ＭＳ ゴシック"/>
            <family val="3"/>
            <charset val="128"/>
          </rPr>
          <t>900</t>
        </r>
        <r>
          <rPr>
            <b/>
            <sz val="9"/>
            <color indexed="81"/>
            <rFont val="ＭＳ ゴシック"/>
            <family val="3"/>
            <charset val="128"/>
          </rPr>
          <t>,1000</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 xml:space="preserve"> 3300V，6600V-50Hz，60Hz（</t>
        </r>
        <r>
          <rPr>
            <sz val="10"/>
            <color indexed="14"/>
            <rFont val="ＭＳ Ｐゴシック"/>
            <family val="3"/>
            <charset val="128"/>
          </rPr>
          <t>直列リアクトル</t>
        </r>
        <r>
          <rPr>
            <sz val="10"/>
            <color indexed="10"/>
            <rFont val="ＭＳ Ｐゴシック"/>
            <family val="3"/>
            <charset val="128"/>
          </rPr>
          <t>13％</t>
        </r>
        <r>
          <rPr>
            <sz val="9"/>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50, 75,100,150,200,250,300,400,500</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 xml:space="preserve"> 3300V，6600V-50Hz，60Hz（</t>
        </r>
        <r>
          <rPr>
            <sz val="10"/>
            <color indexed="14"/>
            <rFont val="ＭＳ Ｐゴシック"/>
            <family val="3"/>
            <charset val="128"/>
          </rPr>
          <t>直列リアクトル</t>
        </r>
        <r>
          <rPr>
            <sz val="10"/>
            <color indexed="10"/>
            <rFont val="ＭＳ Ｐゴシック"/>
            <family val="3"/>
            <charset val="128"/>
          </rPr>
          <t>8％</t>
        </r>
        <r>
          <rPr>
            <sz val="10"/>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50, 75,100,150,200,250,300,400,500</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 xml:space="preserve">  </t>
        </r>
        <r>
          <rPr>
            <sz val="10"/>
            <color indexed="12"/>
            <rFont val="ＭＳ Ｐゴシック"/>
            <family val="3"/>
            <charset val="128"/>
          </rPr>
          <t>(注)いづれの場合にも､</t>
        </r>
        <r>
          <rPr>
            <b/>
            <sz val="10"/>
            <color indexed="81"/>
            <rFont val="ＭＳ Ｐゴシック"/>
            <family val="3"/>
            <charset val="128"/>
          </rPr>
          <t>太字</t>
        </r>
        <r>
          <rPr>
            <sz val="10"/>
            <color indexed="12"/>
            <rFont val="ＭＳ Ｐゴシック"/>
            <family val="3"/>
            <charset val="128"/>
          </rPr>
          <t>の数値を入力して下さい。</t>
        </r>
      </text>
    </comment>
    <comment ref="N7" authorId="0">
      <text>
        <r>
          <rPr>
            <sz val="16"/>
            <color indexed="81"/>
            <rFont val="ＭＳ Ｐゴシック"/>
            <family val="3"/>
            <charset val="128"/>
          </rPr>
          <t xml:space="preserve"> </t>
        </r>
        <r>
          <rPr>
            <b/>
            <sz val="11"/>
            <color indexed="81"/>
            <rFont val="ＭＳ Ｐゴシック"/>
            <family val="3"/>
            <charset val="128"/>
          </rPr>
          <t>……</t>
        </r>
        <r>
          <rPr>
            <b/>
            <sz val="11"/>
            <color indexed="10"/>
            <rFont val="ＭＳ Ｐゴシック"/>
            <family val="3"/>
            <charset val="128"/>
          </rPr>
          <t>低圧進相コンデンサ</t>
        </r>
        <r>
          <rPr>
            <sz val="9"/>
            <color indexed="12"/>
            <rFont val="ＭＳ Ｐゴシック"/>
            <family val="3"/>
            <charset val="128"/>
          </rPr>
          <t>［ニチコン（株）1991.5］</t>
        </r>
        <r>
          <rPr>
            <b/>
            <sz val="11"/>
            <color indexed="81"/>
            <rFont val="ＭＳ Ｐゴシック"/>
            <family val="3"/>
            <charset val="128"/>
          </rPr>
          <t xml:space="preserve">……
</t>
        </r>
        <r>
          <rPr>
            <sz val="16"/>
            <color indexed="81"/>
            <rFont val="ＭＳ Ｐゴシック"/>
            <family val="3"/>
            <charset val="128"/>
          </rPr>
          <t xml:space="preserve"> </t>
        </r>
        <r>
          <rPr>
            <sz val="10"/>
            <color indexed="81"/>
            <rFont val="ＭＳ Ｐゴシック"/>
            <family val="3"/>
            <charset val="128"/>
          </rPr>
          <t>200V，220V-50Hz，60Hz（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xml:space="preserve">）
</t>
        </r>
        <r>
          <rPr>
            <b/>
            <sz val="9"/>
            <color indexed="81"/>
            <rFont val="ＭＳ ゴシック"/>
            <family val="3"/>
            <charset val="128"/>
          </rPr>
          <t xml:space="preserve">     10, 15, 20, 25, 30, 50</t>
        </r>
        <r>
          <rPr>
            <sz val="10"/>
            <color indexed="81"/>
            <rFont val="ＭＳ ゴシック"/>
            <family val="3"/>
            <charset val="128"/>
          </rPr>
          <t xml:space="preserve">[KVar]
 </t>
        </r>
        <r>
          <rPr>
            <sz val="10"/>
            <color indexed="81"/>
            <rFont val="ＭＳ Ｐゴシック"/>
            <family val="3"/>
            <charset val="128"/>
          </rPr>
          <t>200V，220V-50Hz，60Hz（</t>
        </r>
        <r>
          <rPr>
            <sz val="10"/>
            <color indexed="14"/>
            <rFont val="ＭＳ Ｐゴシック"/>
            <family val="3"/>
            <charset val="128"/>
          </rPr>
          <t>直列リアクトル</t>
        </r>
        <r>
          <rPr>
            <sz val="10"/>
            <color indexed="10"/>
            <rFont val="ＭＳ Ｐゴシック"/>
            <family val="3"/>
            <charset val="128"/>
          </rPr>
          <t>６％</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10, 15, 20, 25, 30, 40, 50, 75,100</t>
        </r>
        <r>
          <rPr>
            <sz val="10"/>
            <color indexed="81"/>
            <rFont val="ＭＳ ゴシック"/>
            <family val="3"/>
            <charset val="128"/>
          </rPr>
          <t xml:space="preserve">[KVar]
</t>
        </r>
        <r>
          <rPr>
            <sz val="10"/>
            <color indexed="81"/>
            <rFont val="ＭＳ Ｐゴシック"/>
            <family val="3"/>
            <charset val="128"/>
          </rPr>
          <t xml:space="preserve">  400，415，440，460V-50Hz，60Hz（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xml:space="preserve">     10, 15, 20, 25, 30, 50, 75,100,150</t>
        </r>
        <r>
          <rPr>
            <sz val="10"/>
            <color indexed="81"/>
            <rFont val="ＭＳ ゴシック"/>
            <family val="3"/>
            <charset val="128"/>
          </rPr>
          <t xml:space="preserve">[KVar]
</t>
        </r>
        <r>
          <rPr>
            <sz val="10"/>
            <color indexed="81"/>
            <rFont val="ＭＳ Ｐゴシック"/>
            <family val="3"/>
            <charset val="128"/>
          </rPr>
          <t xml:space="preserve">  400，415，440，460V-50Hz，60Hz（</t>
        </r>
        <r>
          <rPr>
            <sz val="10"/>
            <color indexed="14"/>
            <rFont val="ＭＳ Ｐゴシック"/>
            <family val="3"/>
            <charset val="128"/>
          </rPr>
          <t>直列リアクトル</t>
        </r>
        <r>
          <rPr>
            <sz val="10"/>
            <color indexed="10"/>
            <rFont val="ＭＳ Ｐゴシック"/>
            <family val="3"/>
            <charset val="128"/>
          </rPr>
          <t>6％</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xml:space="preserve">     10, 15, 20, 25, 30, 50, 75,100,150,200
    250,300</t>
        </r>
        <r>
          <rPr>
            <sz val="10"/>
            <color indexed="81"/>
            <rFont val="ＭＳ ゴシック"/>
            <family val="3"/>
            <charset val="128"/>
          </rPr>
          <t>[KVar]</t>
        </r>
      </text>
    </comment>
    <comment ref="E9" authorId="0">
      <text>
        <r>
          <rPr>
            <b/>
            <sz val="16"/>
            <color indexed="10"/>
            <rFont val="ＭＳ Ｐゴシック"/>
            <family val="3"/>
            <charset val="128"/>
          </rPr>
          <t xml:space="preserve"> </t>
        </r>
        <r>
          <rPr>
            <b/>
            <sz val="14"/>
            <color indexed="10"/>
            <rFont val="ＭＳ Ｐゴシック"/>
            <family val="3"/>
            <charset val="128"/>
          </rPr>
          <t>←</t>
        </r>
        <r>
          <rPr>
            <b/>
            <sz val="11"/>
            <color indexed="81"/>
            <rFont val="ＭＳ Ｐゴシック"/>
            <family val="3"/>
            <charset val="128"/>
          </rPr>
          <t>コピ－用デ－タ
　 　から貼り付けて
　 　修正して下さい。</t>
        </r>
        <r>
          <rPr>
            <sz val="11"/>
            <color indexed="81"/>
            <rFont val="ＭＳ Ｐゴシック"/>
            <family val="3"/>
            <charset val="128"/>
          </rPr>
          <t xml:space="preserve">                            
　  ………参考………                                    　　　
   </t>
        </r>
        <r>
          <rPr>
            <b/>
            <sz val="11"/>
            <color indexed="10"/>
            <rFont val="ＭＳ Ｐゴシック"/>
            <family val="3"/>
            <charset val="128"/>
          </rPr>
          <t>Ａ</t>
        </r>
        <r>
          <rPr>
            <b/>
            <sz val="11"/>
            <color indexed="10"/>
            <rFont val="ＭＳ ゴシック"/>
            <family val="3"/>
            <charset val="128"/>
          </rPr>
          <t>-１Ｌ-３</t>
        </r>
        <r>
          <rPr>
            <sz val="11"/>
            <color indexed="8"/>
            <rFont val="ＭＳ Ｐゴシック"/>
            <family val="3"/>
            <charset val="128"/>
          </rPr>
          <t>(盤名称)</t>
        </r>
        <r>
          <rPr>
            <b/>
            <sz val="10"/>
            <color indexed="10"/>
            <rFont val="ＭＳ Ｐゴシック"/>
            <family val="3"/>
            <charset val="128"/>
          </rPr>
          <t xml:space="preserve"> </t>
        </r>
        <r>
          <rPr>
            <sz val="11"/>
            <color indexed="81"/>
            <rFont val="ＭＳ Ｐゴシック"/>
            <family val="3"/>
            <charset val="128"/>
          </rPr>
          <t xml:space="preserve">　　　
　↓  ↓↓  ↓　   　　　　　  　　　　　　　　　　　　　　　　　　　　　　　　　　　 　　　　　　　　　　　　　　　　　 　   　　　　　  　　　　　　　　　　　　   　　　 　           
</t>
        </r>
        <r>
          <rPr>
            <sz val="11"/>
            <color indexed="81"/>
            <rFont val="ＭＳ ゴシック"/>
            <family val="3"/>
            <charset val="128"/>
          </rPr>
          <t xml:space="preserve"> </t>
        </r>
        <r>
          <rPr>
            <b/>
            <sz val="11"/>
            <color indexed="12"/>
            <rFont val="ＭＳ ゴシック"/>
            <family val="3"/>
            <charset val="128"/>
          </rPr>
          <t xml:space="preserve">設 設照 通
 置 置明 し
 棟 階分 番
 </t>
        </r>
        <r>
          <rPr>
            <sz val="11"/>
            <color indexed="12"/>
            <rFont val="ＭＳ ゴシック"/>
            <family val="3"/>
            <charset val="128"/>
          </rPr>
          <t xml:space="preserve">     </t>
        </r>
        <r>
          <rPr>
            <b/>
            <sz val="11"/>
            <color indexed="12"/>
            <rFont val="ＭＳ ゴシック"/>
            <family val="3"/>
            <charset val="128"/>
          </rPr>
          <t>電 号
　　  盤</t>
        </r>
        <r>
          <rPr>
            <b/>
            <sz val="11"/>
            <color indexed="12"/>
            <rFont val="ＭＳ Ｐゴシック"/>
            <family val="3"/>
            <charset val="128"/>
          </rPr>
          <t xml:space="preserve">　　 </t>
        </r>
      </text>
    </comment>
    <comment ref="F9" authorId="0">
      <text>
        <r>
          <rPr>
            <sz val="16"/>
            <color indexed="81"/>
            <rFont val="ＭＳ Ｐゴシック"/>
            <family val="3"/>
            <charset val="128"/>
          </rPr>
          <t xml:space="preserve">  </t>
        </r>
        <r>
          <rPr>
            <b/>
            <sz val="11"/>
            <color indexed="81"/>
            <rFont val="ＭＳ Ｐゴシック"/>
            <family val="3"/>
            <charset val="128"/>
          </rPr>
          <t>……</t>
        </r>
        <r>
          <rPr>
            <b/>
            <sz val="11"/>
            <color indexed="14"/>
            <rFont val="ＭＳ Ｐゴシック"/>
            <family val="3"/>
            <charset val="128"/>
          </rPr>
          <t>（注）</t>
        </r>
        <r>
          <rPr>
            <b/>
            <sz val="11"/>
            <color indexed="12"/>
            <rFont val="ＭＳ Ｐゴシック"/>
            <family val="3"/>
            <charset val="128"/>
          </rPr>
          <t>半角入力</t>
        </r>
        <r>
          <rPr>
            <b/>
            <sz val="11"/>
            <color indexed="81"/>
            <rFont val="ＭＳ Ｐゴシック"/>
            <family val="3"/>
            <charset val="128"/>
          </rPr>
          <t>とする。……</t>
        </r>
        <r>
          <rPr>
            <sz val="9"/>
            <color indexed="81"/>
            <rFont val="ＭＳ Ｐゴシック"/>
            <family val="3"/>
            <charset val="128"/>
          </rPr>
          <t xml:space="preserve">
  </t>
        </r>
        <r>
          <rPr>
            <b/>
            <sz val="11"/>
            <color indexed="81"/>
            <rFont val="ＭＳ Ｐゴシック"/>
            <family val="3"/>
            <charset val="128"/>
          </rPr>
          <t xml:space="preserve"> ３φ３W 　２１０Ｖ　の場合、</t>
        </r>
        <r>
          <rPr>
            <sz val="9"/>
            <color indexed="81"/>
            <rFont val="ＭＳ Ｐゴシック"/>
            <family val="3"/>
            <charset val="128"/>
          </rPr>
          <t xml:space="preserve">
　  </t>
        </r>
        <r>
          <rPr>
            <b/>
            <sz val="11"/>
            <color indexed="10"/>
            <rFont val="ＭＳ Ｐゴシック"/>
            <family val="3"/>
            <charset val="128"/>
          </rPr>
          <t>３</t>
        </r>
        <r>
          <rPr>
            <sz val="9"/>
            <color indexed="81"/>
            <rFont val="ＭＳ Ｐゴシック"/>
            <family val="3"/>
            <charset val="128"/>
          </rPr>
          <t xml:space="preserve"> </t>
        </r>
        <r>
          <rPr>
            <b/>
            <sz val="9"/>
            <color indexed="81"/>
            <rFont val="ＭＳ Ｐゴシック"/>
            <family val="3"/>
            <charset val="128"/>
          </rPr>
          <t>TAB</t>
        </r>
        <r>
          <rPr>
            <sz val="9"/>
            <color indexed="81"/>
            <rFont val="ＭＳ Ｐゴシック"/>
            <family val="3"/>
            <charset val="128"/>
          </rPr>
          <t xml:space="preserve"> </t>
        </r>
        <r>
          <rPr>
            <b/>
            <sz val="11"/>
            <color indexed="10"/>
            <rFont val="ＭＳ Ｐゴシック"/>
            <family val="3"/>
            <charset val="128"/>
          </rPr>
          <t xml:space="preserve">３ </t>
        </r>
        <r>
          <rPr>
            <b/>
            <sz val="9"/>
            <color indexed="81"/>
            <rFont val="ＭＳ Ｐゴシック"/>
            <family val="3"/>
            <charset val="128"/>
          </rPr>
          <t>TAB</t>
        </r>
        <r>
          <rPr>
            <sz val="9"/>
            <color indexed="81"/>
            <rFont val="ＭＳ Ｐゴシック"/>
            <family val="3"/>
            <charset val="128"/>
          </rPr>
          <t xml:space="preserve"> </t>
        </r>
        <r>
          <rPr>
            <b/>
            <sz val="10"/>
            <color indexed="10"/>
            <rFont val="ＭＳ Ｐゴシック"/>
            <family val="3"/>
            <charset val="128"/>
          </rPr>
          <t>２１0</t>
        </r>
        <r>
          <rPr>
            <b/>
            <sz val="9"/>
            <color indexed="81"/>
            <rFont val="ＭＳ Ｐゴシック"/>
            <family val="3"/>
            <charset val="128"/>
          </rPr>
          <t xml:space="preserve"> TAB</t>
        </r>
        <r>
          <rPr>
            <sz val="9"/>
            <color indexed="81"/>
            <rFont val="ＭＳ Ｐゴシック"/>
            <family val="3"/>
            <charset val="128"/>
          </rPr>
          <t xml:space="preserve">
   </t>
        </r>
        <r>
          <rPr>
            <b/>
            <sz val="11"/>
            <color indexed="81"/>
            <rFont val="ＭＳ Ｐゴシック"/>
            <family val="3"/>
            <charset val="128"/>
          </rPr>
          <t>と</t>
        </r>
        <r>
          <rPr>
            <b/>
            <sz val="11"/>
            <color indexed="10"/>
            <rFont val="ＭＳ Ｐゴシック"/>
            <family val="3"/>
            <charset val="128"/>
          </rPr>
          <t>数値</t>
        </r>
        <r>
          <rPr>
            <b/>
            <sz val="11"/>
            <color indexed="81"/>
            <rFont val="ＭＳ Ｐゴシック"/>
            <family val="3"/>
            <charset val="128"/>
          </rPr>
          <t>のみを</t>
        </r>
        <r>
          <rPr>
            <b/>
            <sz val="11"/>
            <color indexed="10"/>
            <rFont val="ＭＳ Ｐゴシック"/>
            <family val="3"/>
            <charset val="128"/>
          </rPr>
          <t>入力</t>
        </r>
        <r>
          <rPr>
            <b/>
            <sz val="11"/>
            <color indexed="81"/>
            <rFont val="ＭＳ Ｐゴシック"/>
            <family val="3"/>
            <charset val="128"/>
          </rPr>
          <t xml:space="preserve">して下さい。
</t>
        </r>
        <r>
          <rPr>
            <sz val="9"/>
            <color indexed="81"/>
            <rFont val="ＭＳ Ｐゴシック"/>
            <family val="3"/>
            <charset val="128"/>
          </rPr>
          <t xml:space="preserve">
　</t>
        </r>
        <r>
          <rPr>
            <b/>
            <sz val="11"/>
            <color indexed="14"/>
            <rFont val="ＭＳ Ｐゴシック"/>
            <family val="3"/>
            <charset val="128"/>
          </rPr>
          <t>（ご注意）</t>
        </r>
        <r>
          <rPr>
            <b/>
            <sz val="11"/>
            <color indexed="12"/>
            <rFont val="ＭＳ Ｐゴシック"/>
            <family val="3"/>
            <charset val="128"/>
          </rPr>
          <t xml:space="preserve">電源電圧とは､変圧器
　           ２次側定格電圧です。
　　　　５０Ｈｚ → </t>
        </r>
        <r>
          <rPr>
            <b/>
            <sz val="11"/>
            <color indexed="10"/>
            <rFont val="ＭＳ Ｐゴシック"/>
            <family val="3"/>
            <charset val="128"/>
          </rPr>
          <t>２１０</t>
        </r>
        <r>
          <rPr>
            <b/>
            <sz val="11"/>
            <color indexed="12"/>
            <rFont val="ＭＳ Ｐゴシック"/>
            <family val="3"/>
            <charset val="128"/>
          </rPr>
          <t xml:space="preserve"> [V]
　　　　６０Ｈｚ → </t>
        </r>
        <r>
          <rPr>
            <b/>
            <sz val="11"/>
            <color indexed="10"/>
            <rFont val="ＭＳ Ｐゴシック"/>
            <family val="3"/>
            <charset val="128"/>
          </rPr>
          <t>２２０</t>
        </r>
        <r>
          <rPr>
            <b/>
            <sz val="11"/>
            <color indexed="12"/>
            <rFont val="ＭＳ Ｐゴシック"/>
            <family val="3"/>
            <charset val="128"/>
          </rPr>
          <t xml:space="preserve"> [V]</t>
        </r>
      </text>
    </comment>
    <comment ref="AJ9" authorId="0">
      <text>
        <r>
          <rPr>
            <sz val="18"/>
            <color indexed="81"/>
            <rFont val="ＭＳ Ｐゴシック"/>
            <family val="3"/>
            <charset val="128"/>
          </rPr>
          <t xml:space="preserve">  </t>
        </r>
        <r>
          <rPr>
            <b/>
            <sz val="12"/>
            <color indexed="10"/>
            <rFont val="ＭＳ Ｐゴシック"/>
            <family val="3"/>
            <charset val="128"/>
          </rPr>
          <t>↓</t>
        </r>
        <r>
          <rPr>
            <b/>
            <sz val="11"/>
            <color indexed="10"/>
            <rFont val="ＭＳ Ｐゴシック"/>
            <family val="3"/>
            <charset val="128"/>
          </rPr>
          <t>ドロップダウン・リストから選んで下さい。</t>
        </r>
        <r>
          <rPr>
            <sz val="9"/>
            <color indexed="81"/>
            <rFont val="ＭＳ Ｐゴシック"/>
            <family val="3"/>
            <charset val="128"/>
          </rPr>
          <t xml:space="preserve">
</t>
        </r>
        <r>
          <rPr>
            <sz val="14"/>
            <color indexed="81"/>
            <rFont val="ＭＳ Ｐゴシック"/>
            <family val="3"/>
            <charset val="128"/>
          </rPr>
          <t xml:space="preserve"> </t>
        </r>
        <r>
          <rPr>
            <b/>
            <sz val="10"/>
            <color indexed="81"/>
            <rFont val="ＭＳ Ｐゴシック"/>
            <family val="3"/>
            <charset val="128"/>
          </rPr>
          <t xml:space="preserve"> </t>
        </r>
        <r>
          <rPr>
            <b/>
            <sz val="10"/>
            <color indexed="12"/>
            <rFont val="ＭＳ Ｐゴシック"/>
            <family val="3"/>
            <charset val="128"/>
          </rPr>
          <t>ＭＣＣＢ のフレ－ム／トリップ値の選定について</t>
        </r>
        <r>
          <rPr>
            <b/>
            <sz val="10"/>
            <color indexed="81"/>
            <rFont val="ＭＳ Ｐゴシック"/>
            <family val="3"/>
            <charset val="128"/>
          </rPr>
          <t xml:space="preserve">
　　　</t>
        </r>
        <r>
          <rPr>
            <b/>
            <sz val="11"/>
            <color indexed="81"/>
            <rFont val="ＭＳ Ｐゴシック"/>
            <family val="3"/>
            <charset val="128"/>
          </rPr>
          <t>１） 遮断容量の確認
　　　２） ＭＣＣＢの特性と温度条件
　　　３） 始動時、定常時、需要率、負荷率､
          不等率､電圧変動率、不平衡率等
　　　  　 を考慮した実負荷電流の把握</t>
        </r>
        <r>
          <rPr>
            <sz val="11"/>
            <color indexed="81"/>
            <rFont val="ＭＳ Ｐゴシック"/>
            <family val="3"/>
            <charset val="128"/>
          </rPr>
          <t xml:space="preserve">
</t>
        </r>
        <r>
          <rPr>
            <sz val="9"/>
            <color indexed="81"/>
            <rFont val="ＭＳ Ｐゴシック"/>
            <family val="3"/>
            <charset val="128"/>
          </rPr>
          <t xml:space="preserve">
　　</t>
        </r>
        <r>
          <rPr>
            <b/>
            <sz val="11"/>
            <color indexed="12"/>
            <rFont val="ＭＳ Ｐゴシック"/>
            <family val="3"/>
            <charset val="128"/>
          </rPr>
          <t>ＭＣＣＢ</t>
        </r>
        <r>
          <rPr>
            <sz val="9"/>
            <color indexed="14"/>
            <rFont val="ＭＳ Ｐゴシック"/>
            <family val="3"/>
            <charset val="128"/>
          </rPr>
          <t>（Ｍｏｌｄｅｄ ｃａｓｅ ｃｉｒｃｕｉｔ ｂｒｅａｋｅｒ）</t>
        </r>
        <r>
          <rPr>
            <sz val="9"/>
            <color indexed="81"/>
            <rFont val="ＭＳ Ｐゴシック"/>
            <family val="3"/>
            <charset val="128"/>
          </rPr>
          <t xml:space="preserve">
　　</t>
        </r>
        <r>
          <rPr>
            <b/>
            <sz val="11"/>
            <color indexed="12"/>
            <rFont val="ＭＳ Ｐゴシック"/>
            <family val="3"/>
            <charset val="128"/>
          </rPr>
          <t>のフレ－ム値</t>
        </r>
        <r>
          <rPr>
            <sz val="10"/>
            <color indexed="81"/>
            <rFont val="ＭＳ Ｐゴシック"/>
            <family val="3"/>
            <charset val="128"/>
          </rPr>
          <t>［Ａ］</t>
        </r>
        <r>
          <rPr>
            <sz val="9"/>
            <color indexed="81"/>
            <rFont val="ＭＳ Ｐゴシック"/>
            <family val="3"/>
            <charset val="128"/>
          </rPr>
          <t xml:space="preserve">
 　　 </t>
        </r>
        <r>
          <rPr>
            <sz val="11"/>
            <color indexed="81"/>
            <rFont val="ＭＳ Ｐゴシック"/>
            <family val="3"/>
            <charset val="128"/>
          </rPr>
          <t>　</t>
        </r>
        <r>
          <rPr>
            <b/>
            <sz val="11"/>
            <color indexed="81"/>
            <rFont val="ＭＳ Ｐゴシック"/>
            <family val="3"/>
            <charset val="128"/>
          </rPr>
          <t xml:space="preserve">３０，　　５０，　　６０，　１００，　２２５，
　  ２５０，　４００，　６００，　８００，１０００，
  １２００，１６００，２０００，２５００，３０００，
  ３２００，４０００
　 </t>
        </r>
        <r>
          <rPr>
            <b/>
            <sz val="11"/>
            <color indexed="12"/>
            <rFont val="ＭＳ Ｐゴシック"/>
            <family val="3"/>
            <charset val="128"/>
          </rPr>
          <t>ＡＣＢ</t>
        </r>
        <r>
          <rPr>
            <sz val="9"/>
            <color indexed="14"/>
            <rFont val="ＭＳ Ｐゴシック"/>
            <family val="3"/>
            <charset val="128"/>
          </rPr>
          <t>（Ａｉｒ ｃｉｒｃｕｉｔ ｂｒｅａｋｅｒ）</t>
        </r>
        <r>
          <rPr>
            <b/>
            <sz val="11"/>
            <color indexed="12"/>
            <rFont val="ＭＳ Ｐゴシック"/>
            <family val="3"/>
            <charset val="128"/>
          </rPr>
          <t>のフレ－ム値</t>
        </r>
        <r>
          <rPr>
            <sz val="10"/>
            <color indexed="81"/>
            <rFont val="ＭＳ Ｐゴシック"/>
            <family val="3"/>
            <charset val="128"/>
          </rPr>
          <t>［Ａ］</t>
        </r>
        <r>
          <rPr>
            <b/>
            <sz val="11"/>
            <color indexed="81"/>
            <rFont val="ＭＳ Ｐゴシック"/>
            <family val="3"/>
            <charset val="128"/>
          </rPr>
          <t xml:space="preserve">
 　　６３０，１０００，１２５０，１６００，２０００，
　 ２５００，３２００，４０００，５０００，６３００</t>
        </r>
      </text>
    </comment>
    <comment ref="N10" authorId="0">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配電側進相コンデンサ</t>
        </r>
        <r>
          <rPr>
            <b/>
            <sz val="11"/>
            <color indexed="8"/>
            <rFont val="ＭＳ Ｐゴシック"/>
            <family val="3"/>
            <charset val="128"/>
          </rPr>
          <t>……
　　 　</t>
        </r>
        <r>
          <rPr>
            <sz val="10"/>
            <color indexed="14"/>
            <rFont val="ＭＳ Ｐゴシック"/>
            <family val="3"/>
            <charset val="128"/>
          </rPr>
          <t>［Ｓｅｒｉｅｓ Ｐｏｗｅｒ Ｃａｐａｃｉｔｏｒ］</t>
        </r>
        <r>
          <rPr>
            <b/>
            <sz val="11"/>
            <color indexed="8"/>
            <rFont val="ＭＳ Ｐゴシック"/>
            <family val="3"/>
            <charset val="128"/>
          </rPr>
          <t xml:space="preserve">
</t>
        </r>
        <r>
          <rPr>
            <sz val="18"/>
            <color indexed="8"/>
            <rFont val="ＭＳ ゴシック"/>
            <family val="3"/>
            <charset val="128"/>
          </rPr>
          <t xml:space="preserve"> </t>
        </r>
        <r>
          <rPr>
            <sz val="9"/>
            <color indexed="12"/>
            <rFont val="ＭＳ ゴシック"/>
            <family val="3"/>
            <charset val="128"/>
          </rPr>
          <t>全負荷平均力率が悪い（遅れ力率）場合には、
　力率を改善して、配電側の電力変圧器を効率
　よく運転する目的で設置します。</t>
        </r>
        <r>
          <rPr>
            <b/>
            <sz val="11"/>
            <color indexed="8"/>
            <rFont val="ＭＳ Ｐゴシック"/>
            <family val="3"/>
            <charset val="128"/>
          </rPr>
          <t xml:space="preserve">
　　　　　</t>
        </r>
      </text>
    </comment>
    <comment ref="O10" authorId="0">
      <text>
        <r>
          <rPr>
            <b/>
            <sz val="16"/>
            <color indexed="10"/>
            <rFont val="ＭＳ Ｐゴシック"/>
            <family val="3"/>
            <charset val="128"/>
          </rPr>
          <t xml:space="preserve"> </t>
        </r>
        <r>
          <rPr>
            <b/>
            <sz val="11"/>
            <color indexed="10"/>
            <rFont val="ＭＳ Ｐゴシック"/>
            <family val="3"/>
            <charset val="128"/>
          </rPr>
          <t>累積計算</t>
        </r>
        <r>
          <rPr>
            <b/>
            <sz val="11"/>
            <color indexed="81"/>
            <rFont val="ＭＳ Ｐゴシック"/>
            <family val="3"/>
            <charset val="128"/>
          </rPr>
          <t>を行う場合下記の点に
  注意して下さい。</t>
        </r>
        <r>
          <rPr>
            <sz val="9"/>
            <color indexed="81"/>
            <rFont val="ＭＳ Ｐゴシック"/>
            <family val="3"/>
            <charset val="128"/>
          </rPr>
          <t xml:space="preserve">
</t>
        </r>
        <r>
          <rPr>
            <sz val="9"/>
            <color indexed="12"/>
            <rFont val="ＭＳ Ｐゴシック"/>
            <family val="3"/>
            <charset val="128"/>
          </rPr>
          <t xml:space="preserve">
</t>
        </r>
        <r>
          <rPr>
            <sz val="10"/>
            <color indexed="12"/>
            <rFont val="ＭＳ Ｐゴシック"/>
            <family val="3"/>
            <charset val="128"/>
          </rPr>
          <t xml:space="preserve"> 　幹線分岐等で、各区間の電圧降下値を
　 集計するときには、"セル"の</t>
        </r>
        <r>
          <rPr>
            <sz val="10"/>
            <color indexed="14"/>
            <rFont val="ＭＳ Ｐゴシック"/>
            <family val="3"/>
            <charset val="128"/>
          </rPr>
          <t>各４行</t>
        </r>
        <r>
          <rPr>
            <sz val="10"/>
            <color indexed="12"/>
            <rFont val="ＭＳ Ｐゴシック"/>
            <family val="3"/>
            <charset val="128"/>
          </rPr>
          <t>を</t>
        </r>
        <r>
          <rPr>
            <sz val="10"/>
            <color indexed="14"/>
            <rFont val="ＭＳ Ｐゴシック"/>
            <family val="3"/>
            <charset val="128"/>
          </rPr>
          <t>連続</t>
        </r>
        <r>
          <rPr>
            <sz val="10"/>
            <color indexed="12"/>
            <rFont val="ＭＳ Ｐゴシック"/>
            <family val="3"/>
            <charset val="128"/>
          </rPr>
          <t xml:space="preserve">
    して使用して下さい。
 　単独計算または、次の別計算に移るとき
　 は､必ず </t>
        </r>
        <r>
          <rPr>
            <sz val="10"/>
            <color indexed="14"/>
            <rFont val="ＭＳ Ｐゴシック"/>
            <family val="3"/>
            <charset val="128"/>
          </rPr>
          <t>４行以上</t>
        </r>
        <r>
          <rPr>
            <sz val="10"/>
            <color indexed="12"/>
            <rFont val="ＭＳ Ｐゴシック"/>
            <family val="3"/>
            <charset val="128"/>
          </rPr>
          <t xml:space="preserve"> 空けて入力して下さい。</t>
        </r>
      </text>
    </comment>
    <comment ref="W10" authorId="0">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負荷側進相コンデンサ</t>
        </r>
        <r>
          <rPr>
            <b/>
            <sz val="11"/>
            <color indexed="8"/>
            <rFont val="ＭＳ Ｐゴシック"/>
            <family val="3"/>
            <charset val="128"/>
          </rPr>
          <t>……</t>
        </r>
        <r>
          <rPr>
            <sz val="9"/>
            <color indexed="81"/>
            <rFont val="ＭＳ Ｐゴシック"/>
            <family val="3"/>
            <charset val="128"/>
          </rPr>
          <t xml:space="preserve">
　　 　　　　</t>
        </r>
        <r>
          <rPr>
            <sz val="10"/>
            <color indexed="14"/>
            <rFont val="ＭＳ Ｐゴシック"/>
            <family val="3"/>
            <charset val="128"/>
          </rPr>
          <t>［Ｓｅｒｉｅｓ Ｐｏｗｅｒ Ｃａｐａｃｉｔｏｒ］</t>
        </r>
        <r>
          <rPr>
            <sz val="9"/>
            <color indexed="81"/>
            <rFont val="ＭＳ Ｐゴシック"/>
            <family val="3"/>
            <charset val="128"/>
          </rPr>
          <t xml:space="preserve">
</t>
        </r>
        <r>
          <rPr>
            <sz val="16"/>
            <color indexed="81"/>
            <rFont val="ＭＳ ゴシック"/>
            <family val="3"/>
            <charset val="128"/>
          </rPr>
          <t xml:space="preserve"> </t>
        </r>
        <r>
          <rPr>
            <sz val="10"/>
            <color indexed="12"/>
            <rFont val="ＭＳ ゴシック"/>
            <family val="3"/>
            <charset val="128"/>
          </rPr>
          <t>誘導負荷の遅れ力率を改善して､幹線の電圧
　降下を低減し､分電盤一次電圧の低下を防止
　する目的で設置します。</t>
        </r>
      </text>
    </comment>
    <comment ref="AA10"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AE10"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AF10" authorId="1">
      <text>
        <r>
          <rPr>
            <b/>
            <sz val="16"/>
            <color indexed="12"/>
            <rFont val="ＭＳ ゴシック"/>
            <family val="3"/>
            <charset val="128"/>
          </rPr>
          <t xml:space="preserve"> </t>
        </r>
        <r>
          <rPr>
            <b/>
            <sz val="12"/>
            <color indexed="12"/>
            <rFont val="ＭＳ Ｐゴシック"/>
            <family val="3"/>
            <charset val="128"/>
          </rPr>
          <t>変圧器２次側
  電圧</t>
        </r>
        <r>
          <rPr>
            <b/>
            <sz val="10"/>
            <color indexed="12"/>
            <rFont val="ＭＳ Ｐゴシック"/>
            <family val="3"/>
            <charset val="128"/>
          </rPr>
          <t>［Ｖ］</t>
        </r>
      </text>
    </comment>
    <comment ref="L11" authorId="0">
      <text>
        <r>
          <rPr>
            <sz val="14"/>
            <color indexed="81"/>
            <rFont val="ＭＳ Ｐゴシック"/>
            <family val="3"/>
            <charset val="128"/>
          </rPr>
          <t xml:space="preserve"> </t>
        </r>
        <r>
          <rPr>
            <b/>
            <sz val="14"/>
            <color indexed="10"/>
            <rFont val="ＭＳ Ｐゴシック"/>
            <family val="3"/>
            <charset val="128"/>
          </rPr>
          <t>↓</t>
        </r>
        <r>
          <rPr>
            <b/>
            <sz val="11"/>
            <color indexed="81"/>
            <rFont val="ＭＳ Ｐゴシック"/>
            <family val="3"/>
            <charset val="128"/>
          </rPr>
          <t>ドロップダウンリストから
　　選んで下さい。</t>
        </r>
        <r>
          <rPr>
            <b/>
            <sz val="9"/>
            <color indexed="81"/>
            <rFont val="ＭＳ Ｐゴシック"/>
            <family val="3"/>
            <charset val="128"/>
          </rPr>
          <t xml:space="preserve">
 </t>
        </r>
        <r>
          <rPr>
            <sz val="14"/>
            <color indexed="81"/>
            <rFont val="ＭＳ Ｐゴシック"/>
            <family val="3"/>
            <charset val="128"/>
          </rPr>
          <t xml:space="preserve"> </t>
        </r>
        <r>
          <rPr>
            <sz val="10"/>
            <color indexed="12"/>
            <rFont val="ＭＳ Ｐゴシック"/>
            <family val="3"/>
            <charset val="128"/>
          </rPr>
          <t>リストにない場合（油入自冷，モ－
　ルド絶縁以外）は、ＤＡＴＡ Ｔａｂｌｅの
　</t>
        </r>
        <r>
          <rPr>
            <sz val="10"/>
            <color indexed="10"/>
            <rFont val="ＭＳ Ｐゴシック"/>
            <family val="3"/>
            <charset val="128"/>
          </rPr>
          <t>「変圧器ＵＳＥＲ」</t>
        </r>
        <r>
          <rPr>
            <sz val="10"/>
            <color indexed="12"/>
            <rFont val="ＭＳ Ｐゴシック"/>
            <family val="3"/>
            <charset val="128"/>
          </rPr>
          <t>にデ－タを入力し
　てから実行して下さい。</t>
        </r>
      </text>
    </comment>
    <comment ref="M11" authorId="0">
      <text>
        <r>
          <rPr>
            <sz val="16"/>
            <color indexed="81"/>
            <rFont val="ＭＳ Ｐゴシック"/>
            <family val="3"/>
            <charset val="128"/>
          </rPr>
          <t xml:space="preserve">  </t>
        </r>
        <r>
          <rPr>
            <sz val="9"/>
            <color indexed="81"/>
            <rFont val="ＭＳ Ｐゴシック"/>
            <family val="3"/>
            <charset val="128"/>
          </rPr>
          <t xml:space="preserve">… … </t>
        </r>
        <r>
          <rPr>
            <b/>
            <sz val="12"/>
            <color indexed="10"/>
            <rFont val="ＭＳ Ｐゴシック"/>
            <family val="3"/>
            <charset val="128"/>
          </rPr>
          <t xml:space="preserve">ご注意 </t>
        </r>
        <r>
          <rPr>
            <sz val="9"/>
            <color indexed="81"/>
            <rFont val="ＭＳ Ｐゴシック"/>
            <family val="3"/>
            <charset val="128"/>
          </rPr>
          <t>… …
　 並列運転の場合には、
　 並列</t>
        </r>
        <r>
          <rPr>
            <sz val="9"/>
            <color indexed="12"/>
            <rFont val="ＭＳ Ｐゴシック"/>
            <family val="3"/>
            <charset val="128"/>
          </rPr>
          <t>変圧器の台数</t>
        </r>
        <r>
          <rPr>
            <sz val="9"/>
            <color indexed="81"/>
            <rFont val="ＭＳ Ｐゴシック"/>
            <family val="3"/>
            <charset val="128"/>
          </rPr>
          <t>を
　 入力して下さい。</t>
        </r>
      </text>
    </comment>
    <comment ref="O11"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Q11" authorId="0">
      <text>
        <r>
          <rPr>
            <sz val="16"/>
            <color indexed="10"/>
            <rFont val="ＭＳ Ｐゴシック"/>
            <family val="3"/>
            <charset val="128"/>
          </rPr>
          <t xml:space="preserve">   </t>
        </r>
        <r>
          <rPr>
            <b/>
            <sz val="11"/>
            <color indexed="81"/>
            <rFont val="ＭＳ Ｐゴシック"/>
            <family val="3"/>
            <charset val="128"/>
          </rPr>
          <t>……</t>
        </r>
        <r>
          <rPr>
            <b/>
            <sz val="11"/>
            <color indexed="10"/>
            <rFont val="ＭＳ Ｐゴシック"/>
            <family val="3"/>
            <charset val="128"/>
          </rPr>
          <t>ご注意</t>
        </r>
        <r>
          <rPr>
            <b/>
            <sz val="11"/>
            <color indexed="81"/>
            <rFont val="ＭＳ Ｐゴシック"/>
            <family val="3"/>
            <charset val="128"/>
          </rPr>
          <t>……</t>
        </r>
        <r>
          <rPr>
            <sz val="9"/>
            <color indexed="81"/>
            <rFont val="ＭＳ Ｐゴシック"/>
            <family val="3"/>
            <charset val="128"/>
          </rPr>
          <t xml:space="preserve">
　 </t>
        </r>
        <r>
          <rPr>
            <b/>
            <sz val="10"/>
            <color indexed="12"/>
            <rFont val="ＭＳ Ｐゴシック"/>
            <family val="3"/>
            <charset val="128"/>
          </rPr>
          <t>電動機回路</t>
        </r>
        <r>
          <rPr>
            <sz val="10"/>
            <color indexed="81"/>
            <rFont val="ＭＳ Ｐゴシック"/>
            <family val="3"/>
            <charset val="128"/>
          </rPr>
          <t xml:space="preserve">の場合、
　 </t>
        </r>
        <r>
          <rPr>
            <b/>
            <sz val="10"/>
            <color indexed="10"/>
            <rFont val="ＭＳ Ｐゴシック"/>
            <family val="3"/>
            <charset val="128"/>
          </rPr>
          <t>０＜～１．０００</t>
        </r>
        <r>
          <rPr>
            <sz val="10"/>
            <color indexed="10"/>
            <rFont val="ＭＳ Ｐゴシック"/>
            <family val="3"/>
            <charset val="128"/>
          </rPr>
          <t xml:space="preserve"> </t>
        </r>
        <r>
          <rPr>
            <sz val="10"/>
            <color indexed="81"/>
            <rFont val="ＭＳ Ｐゴシック"/>
            <family val="3"/>
            <charset val="128"/>
          </rPr>
          <t xml:space="preserve">の範囲で
　 入力して下さい。
</t>
        </r>
        <r>
          <rPr>
            <sz val="14"/>
            <color indexed="81"/>
            <rFont val="ＭＳ Ｐゴシック"/>
            <family val="3"/>
            <charset val="128"/>
          </rPr>
          <t>　</t>
        </r>
        <r>
          <rPr>
            <sz val="10"/>
            <color indexed="14"/>
            <rFont val="ＭＳ Ｐゴシック"/>
            <family val="3"/>
            <charset val="128"/>
          </rPr>
          <t>その他の負荷の場合は、
　 ”</t>
        </r>
        <r>
          <rPr>
            <b/>
            <sz val="10"/>
            <color indexed="10"/>
            <rFont val="ＭＳ Ｐゴシック"/>
            <family val="3"/>
            <charset val="128"/>
          </rPr>
          <t>１</t>
        </r>
        <r>
          <rPr>
            <sz val="10"/>
            <color indexed="14"/>
            <rFont val="ＭＳ Ｐゴシック"/>
            <family val="3"/>
            <charset val="128"/>
          </rPr>
          <t>” を入力して下さい。</t>
        </r>
      </text>
    </comment>
    <comment ref="S11" authorId="0">
      <text>
        <r>
          <rPr>
            <sz val="16"/>
            <color indexed="10"/>
            <rFont val="ＭＳ Ｐゴシック"/>
            <family val="3"/>
            <charset val="128"/>
          </rPr>
          <t xml:space="preserve">  </t>
        </r>
        <r>
          <rPr>
            <b/>
            <sz val="12"/>
            <color indexed="10"/>
            <rFont val="ＭＳ Ｐゴシック"/>
            <family val="3"/>
            <charset val="128"/>
          </rPr>
          <t>入力ＫＶＡ</t>
        </r>
        <r>
          <rPr>
            <sz val="9"/>
            <color indexed="81"/>
            <rFont val="ＭＳ Ｐゴシック"/>
            <family val="3"/>
            <charset val="128"/>
          </rPr>
          <t xml:space="preserve">
　</t>
        </r>
        <r>
          <rPr>
            <sz val="10"/>
            <color indexed="81"/>
            <rFont val="ＭＳ Ｐゴシック"/>
            <family val="3"/>
            <charset val="128"/>
          </rPr>
          <t>入力</t>
        </r>
        <r>
          <rPr>
            <b/>
            <sz val="9"/>
            <color indexed="81"/>
            <rFont val="ＭＳ Ｐゴシック"/>
            <family val="3"/>
            <charset val="128"/>
          </rPr>
          <t>ＫＶＡ</t>
        </r>
        <r>
          <rPr>
            <sz val="10"/>
            <color indexed="81"/>
            <rFont val="ＭＳ Ｐゴシック"/>
            <family val="3"/>
            <charset val="128"/>
          </rPr>
          <t>＝出力</t>
        </r>
        <r>
          <rPr>
            <b/>
            <sz val="9"/>
            <color indexed="81"/>
            <rFont val="ＭＳ Ｐゴシック"/>
            <family val="3"/>
            <charset val="128"/>
          </rPr>
          <t>ＫＷ</t>
        </r>
        <r>
          <rPr>
            <sz val="10"/>
            <color indexed="81"/>
            <rFont val="ＭＳ Ｐゴシック"/>
            <family val="3"/>
            <charset val="128"/>
          </rPr>
          <t>／（</t>
        </r>
        <r>
          <rPr>
            <b/>
            <sz val="9"/>
            <color indexed="81"/>
            <rFont val="ＭＳ Ｐゴシック"/>
            <family val="3"/>
            <charset val="128"/>
          </rPr>
          <t>ｃｏｓφ</t>
        </r>
        <r>
          <rPr>
            <sz val="10"/>
            <color indexed="81"/>
            <rFont val="ＭＳ Ｐゴシック"/>
            <family val="3"/>
            <charset val="128"/>
          </rPr>
          <t>ｘ</t>
        </r>
        <r>
          <rPr>
            <b/>
            <sz val="10"/>
            <color indexed="81"/>
            <rFont val="ＭＳ Ｐゴシック"/>
            <family val="3"/>
            <charset val="128"/>
          </rPr>
          <t>η</t>
        </r>
        <r>
          <rPr>
            <sz val="10"/>
            <color indexed="81"/>
            <rFont val="ＭＳ Ｐゴシック"/>
            <family val="3"/>
            <charset val="128"/>
          </rPr>
          <t xml:space="preserve">）
</t>
        </r>
        <r>
          <rPr>
            <sz val="14"/>
            <color indexed="81"/>
            <rFont val="ＭＳ Ｐゴシック"/>
            <family val="3"/>
            <charset val="128"/>
          </rPr>
          <t xml:space="preserve">　   </t>
        </r>
        <r>
          <rPr>
            <b/>
            <sz val="10"/>
            <color indexed="12"/>
            <rFont val="ＭＳ Ｐゴシック"/>
            <family val="3"/>
            <charset val="128"/>
          </rPr>
          <t>cos</t>
        </r>
        <r>
          <rPr>
            <b/>
            <sz val="9"/>
            <color indexed="12"/>
            <rFont val="ＭＳ Ｐゴシック"/>
            <family val="3"/>
            <charset val="128"/>
          </rPr>
          <t xml:space="preserve">φ </t>
        </r>
        <r>
          <rPr>
            <sz val="10"/>
            <color indexed="12"/>
            <rFont val="ＭＳ Ｐゴシック"/>
            <family val="3"/>
            <charset val="128"/>
          </rPr>
          <t>：負荷の力率
　</t>
        </r>
        <r>
          <rPr>
            <sz val="8"/>
            <color indexed="12"/>
            <rFont val="ＭＳ Ｐゴシック"/>
            <family val="3"/>
            <charset val="128"/>
          </rPr>
          <t>　</t>
        </r>
        <r>
          <rPr>
            <sz val="10"/>
            <color indexed="12"/>
            <rFont val="ＭＳ Ｐゴシック"/>
            <family val="3"/>
            <charset val="128"/>
          </rPr>
          <t xml:space="preserve">       </t>
        </r>
        <r>
          <rPr>
            <b/>
            <sz val="10"/>
            <color indexed="12"/>
            <rFont val="ＭＳ Ｐゴシック"/>
            <family val="3"/>
            <charset val="128"/>
          </rPr>
          <t xml:space="preserve">η   </t>
        </r>
        <r>
          <rPr>
            <sz val="10"/>
            <color indexed="12"/>
            <rFont val="ＭＳ Ｐゴシック"/>
            <family val="3"/>
            <charset val="128"/>
          </rPr>
          <t>：負荷の効率</t>
        </r>
      </text>
    </comment>
    <comment ref="T11" authorId="0">
      <text>
        <r>
          <rPr>
            <sz val="16"/>
            <color indexed="81"/>
            <rFont val="ＭＳ Ｐゴシック"/>
            <family val="3"/>
            <charset val="128"/>
          </rPr>
          <t xml:space="preserve"> </t>
        </r>
        <r>
          <rPr>
            <b/>
            <sz val="1"/>
            <color indexed="81"/>
            <rFont val="ＭＳ Ｐゴシック"/>
            <family val="3"/>
            <charset val="128"/>
          </rPr>
          <t xml:space="preserve"> </t>
        </r>
        <r>
          <rPr>
            <b/>
            <sz val="11"/>
            <color indexed="81"/>
            <rFont val="ＭＳ Ｐゴシック"/>
            <family val="3"/>
            <charset val="128"/>
          </rPr>
          <t>……需要率 Ｄｆ ……</t>
        </r>
        <r>
          <rPr>
            <sz val="9"/>
            <color indexed="81"/>
            <rFont val="ＭＳ Ｐゴシック"/>
            <family val="3"/>
            <charset val="128"/>
          </rPr>
          <t xml:space="preserve">　
      </t>
        </r>
        <r>
          <rPr>
            <sz val="9"/>
            <color indexed="14"/>
            <rFont val="ＭＳ Ｐゴシック"/>
            <family val="3"/>
            <charset val="128"/>
          </rPr>
          <t>（Ｄｅｍａｎｄ　Ｆａｃｔｏｒ）</t>
        </r>
        <r>
          <rPr>
            <b/>
            <sz val="11"/>
            <color indexed="81"/>
            <rFont val="ＭＳ Ｐゴシック"/>
            <family val="3"/>
            <charset val="128"/>
          </rPr>
          <t xml:space="preserve">
  </t>
        </r>
        <r>
          <rPr>
            <b/>
            <sz val="11"/>
            <color indexed="10"/>
            <rFont val="ＭＳ Ｐゴシック"/>
            <family val="3"/>
            <charset val="128"/>
          </rPr>
          <t xml:space="preserve">０．０００１ ～ １．００ </t>
        </r>
        <r>
          <rPr>
            <b/>
            <sz val="11"/>
            <color indexed="81"/>
            <rFont val="ＭＳ Ｐゴシック"/>
            <family val="3"/>
            <charset val="128"/>
          </rPr>
          <t xml:space="preserve">
  範囲内の数値を入力
　 して下さい。</t>
        </r>
      </text>
    </comment>
    <comment ref="X11" authorId="0">
      <text>
        <r>
          <rPr>
            <sz val="16"/>
            <color indexed="10"/>
            <rFont val="ＭＳ Ｐゴシック"/>
            <family val="3"/>
            <charset val="128"/>
          </rPr>
          <t xml:space="preserve">  </t>
        </r>
        <r>
          <rPr>
            <b/>
            <sz val="11"/>
            <color indexed="10"/>
            <rFont val="ＭＳ Ｐゴシック"/>
            <family val="3"/>
            <charset val="128"/>
          </rPr>
          <t>ドロップダウンリストから
  選んで下さい。</t>
        </r>
        <r>
          <rPr>
            <sz val="9"/>
            <color indexed="81"/>
            <rFont val="ＭＳ Ｐゴシック"/>
            <family val="3"/>
            <charset val="128"/>
          </rPr>
          <t xml:space="preserve">
</t>
        </r>
        <r>
          <rPr>
            <b/>
            <sz val="16"/>
            <color indexed="81"/>
            <rFont val="ＭＳ Ｐゴシック"/>
            <family val="3"/>
            <charset val="128"/>
          </rPr>
          <t xml:space="preserve"> </t>
        </r>
        <r>
          <rPr>
            <sz val="9"/>
            <color indexed="14"/>
            <rFont val="ＭＳ Ｐゴシック"/>
            <family val="3"/>
            <charset val="128"/>
          </rPr>
          <t xml:space="preserve">入力方法シ－トを参照して下さい。
</t>
        </r>
        <r>
          <rPr>
            <sz val="18"/>
            <color indexed="14"/>
            <rFont val="ＭＳ Ｐゴシック"/>
            <family val="3"/>
            <charset val="128"/>
          </rPr>
          <t xml:space="preserve"> </t>
        </r>
        <r>
          <rPr>
            <sz val="9"/>
            <color indexed="12"/>
            <rFont val="ＭＳ Ｐゴシック"/>
            <family val="3"/>
            <charset val="128"/>
          </rPr>
          <t>データ・テーブルにないサイズを
  入力する場合には､そのケーブル
　の Ｒ，Ｘ（</t>
        </r>
        <r>
          <rPr>
            <sz val="9"/>
            <color indexed="10"/>
            <rFont val="ＭＳ Ｐゴシック"/>
            <family val="3"/>
            <charset val="128"/>
          </rPr>
          <t>５０Ｈｚ</t>
        </r>
        <r>
          <rPr>
            <sz val="9"/>
            <color indexed="12"/>
            <rFont val="ＭＳ Ｐゴシック"/>
            <family val="3"/>
            <charset val="128"/>
          </rPr>
          <t>） 値をデータ・テ
　ーブルに登録して下さい。</t>
        </r>
      </text>
    </comment>
    <comment ref="Z11" authorId="0">
      <text>
        <r>
          <rPr>
            <sz val="16"/>
            <color indexed="10"/>
            <rFont val="ＭＳ Ｐゴシック"/>
            <family val="3"/>
            <charset val="128"/>
          </rPr>
          <t xml:space="preserve">  </t>
        </r>
        <r>
          <rPr>
            <b/>
            <sz val="11"/>
            <color indexed="10"/>
            <rFont val="ＭＳ Ｐゴシック"/>
            <family val="3"/>
            <charset val="128"/>
          </rPr>
          <t>亘長 Ｌ</t>
        </r>
        <r>
          <rPr>
            <sz val="9"/>
            <color indexed="14"/>
            <rFont val="ＭＳ Ｐゴシック"/>
            <family val="3"/>
            <charset val="128"/>
          </rPr>
          <t>（Ｃａｂｌｅ　Ｓｐａｎ）　</t>
        </r>
        <r>
          <rPr>
            <sz val="9"/>
            <color indexed="81"/>
            <rFont val="ＭＳ Ｐゴシック"/>
            <family val="3"/>
            <charset val="128"/>
          </rPr>
          <t xml:space="preserve">
　 布設ケ－ブルの実長ｍ数
　 を入力してください。</t>
        </r>
      </text>
    </comment>
    <comment ref="AB11" authorId="0">
      <text>
        <r>
          <rPr>
            <sz val="16"/>
            <color indexed="10"/>
            <rFont val="ＭＳ Ｐゴシック"/>
            <family val="3"/>
            <charset val="128"/>
          </rPr>
          <t xml:space="preserve">  </t>
        </r>
        <r>
          <rPr>
            <b/>
            <sz val="11"/>
            <color indexed="10"/>
            <rFont val="ＭＳ Ｐゴシック"/>
            <family val="3"/>
            <charset val="128"/>
          </rPr>
          <t>ドロップダウンリストから
  選んで下さい。</t>
        </r>
        <r>
          <rPr>
            <sz val="9"/>
            <color indexed="81"/>
            <rFont val="ＭＳ Ｐゴシック"/>
            <family val="3"/>
            <charset val="128"/>
          </rPr>
          <t xml:space="preserve">
</t>
        </r>
        <r>
          <rPr>
            <b/>
            <sz val="16"/>
            <color indexed="81"/>
            <rFont val="ＭＳ Ｐゴシック"/>
            <family val="3"/>
            <charset val="128"/>
          </rPr>
          <t xml:space="preserve"> </t>
        </r>
        <r>
          <rPr>
            <sz val="9"/>
            <color indexed="14"/>
            <rFont val="ＭＳ Ｐゴシック"/>
            <family val="3"/>
            <charset val="128"/>
          </rPr>
          <t xml:space="preserve">入力方法シ－トを参照して下さい。
</t>
        </r>
        <r>
          <rPr>
            <sz val="18"/>
            <color indexed="14"/>
            <rFont val="ＭＳ Ｐゴシック"/>
            <family val="3"/>
            <charset val="128"/>
          </rPr>
          <t xml:space="preserve"> </t>
        </r>
        <r>
          <rPr>
            <sz val="9"/>
            <color indexed="12"/>
            <rFont val="ＭＳ Ｐゴシック"/>
            <family val="3"/>
            <charset val="128"/>
          </rPr>
          <t>データ・テーブルにないサイズを
  入力する場合には､そのケーブル
　の Ｒ，Ｘ（</t>
        </r>
        <r>
          <rPr>
            <sz val="9"/>
            <color indexed="10"/>
            <rFont val="ＭＳ Ｐゴシック"/>
            <family val="3"/>
            <charset val="128"/>
          </rPr>
          <t>５０Ｈｚ</t>
        </r>
        <r>
          <rPr>
            <sz val="9"/>
            <color indexed="12"/>
            <rFont val="ＭＳ Ｐゴシック"/>
            <family val="3"/>
            <charset val="128"/>
          </rPr>
          <t>） 値をデータ・テ
　ーブルに登録して下さい。</t>
        </r>
      </text>
    </comment>
    <comment ref="AD11" authorId="0">
      <text>
        <r>
          <rPr>
            <sz val="16"/>
            <color indexed="10"/>
            <rFont val="ＭＳ Ｐゴシック"/>
            <family val="3"/>
            <charset val="128"/>
          </rPr>
          <t xml:space="preserve">  </t>
        </r>
        <r>
          <rPr>
            <b/>
            <sz val="11"/>
            <color indexed="10"/>
            <rFont val="ＭＳ Ｐゴシック"/>
            <family val="3"/>
            <charset val="128"/>
          </rPr>
          <t>亘長 Ｌ</t>
        </r>
        <r>
          <rPr>
            <sz val="9"/>
            <color indexed="14"/>
            <rFont val="ＭＳ Ｐゴシック"/>
            <family val="3"/>
            <charset val="128"/>
          </rPr>
          <t>（Ｃａｂｌｅ　Ｓｐａｎ）　</t>
        </r>
        <r>
          <rPr>
            <sz val="9"/>
            <color indexed="81"/>
            <rFont val="ＭＳ Ｐゴシック"/>
            <family val="3"/>
            <charset val="128"/>
          </rPr>
          <t xml:space="preserve">
　 布設ケ－ブルの実長ｍ数
　 を入力してください。</t>
        </r>
      </text>
    </comment>
    <comment ref="AG11" authorId="0">
      <text>
        <r>
          <rPr>
            <b/>
            <sz val="18"/>
            <color indexed="12"/>
            <rFont val="ＭＳ Ｐゴシック"/>
            <family val="3"/>
            <charset val="128"/>
          </rPr>
          <t xml:space="preserve"> </t>
        </r>
        <r>
          <rPr>
            <b/>
            <sz val="12"/>
            <color indexed="12"/>
            <rFont val="ＭＳ Ｐゴシック"/>
            <family val="3"/>
            <charset val="128"/>
          </rPr>
          <t xml:space="preserve">電源電圧に
　対する </t>
        </r>
        <r>
          <rPr>
            <b/>
            <sz val="10"/>
            <color indexed="12"/>
            <rFont val="ＭＳ Ｐゴシック"/>
            <family val="3"/>
            <charset val="128"/>
          </rPr>
          <t>[％]</t>
        </r>
        <r>
          <rPr>
            <sz val="9"/>
            <color indexed="81"/>
            <rFont val="ＭＳ Ｐゴシック"/>
            <family val="3"/>
            <charset val="128"/>
          </rPr>
          <t xml:space="preserve">
</t>
        </r>
      </text>
    </comment>
    <comment ref="B12" authorId="0">
      <text>
        <r>
          <rPr>
            <sz val="16"/>
            <color indexed="8"/>
            <rFont val="ＭＳ Ｐゴシック"/>
            <family val="3"/>
            <charset val="128"/>
          </rPr>
          <t xml:space="preserve">  　     </t>
        </r>
        <r>
          <rPr>
            <b/>
            <sz val="11"/>
            <color indexed="10"/>
            <rFont val="ＭＳ Ｐゴシック"/>
            <family val="3"/>
            <charset val="128"/>
          </rPr>
          <t>Drop  down LIST</t>
        </r>
        <r>
          <rPr>
            <b/>
            <sz val="11"/>
            <color indexed="8"/>
            <rFont val="ＭＳ Ｐゴシック"/>
            <family val="3"/>
            <charset val="128"/>
          </rPr>
          <t xml:space="preserve">
</t>
        </r>
        <r>
          <rPr>
            <sz val="10"/>
            <color indexed="8"/>
            <rFont val="ＭＳ ゴシック"/>
            <family val="3"/>
            <charset val="128"/>
          </rPr>
          <t xml:space="preserve">  </t>
        </r>
        <r>
          <rPr>
            <b/>
            <sz val="10"/>
            <color indexed="12"/>
            <rFont val="ＭＳ Ｐ明朝"/>
            <family val="1"/>
            <charset val="128"/>
          </rPr>
          <t>An addition, change, and deletion
   can do this registration cell.</t>
        </r>
      </text>
    </comment>
    <comment ref="F12" authorId="0">
      <text>
        <r>
          <rPr>
            <sz val="16"/>
            <color indexed="10"/>
            <rFont val="ＭＳ Ｐゴシック"/>
            <family val="3"/>
            <charset val="128"/>
          </rPr>
          <t>　</t>
        </r>
        <r>
          <rPr>
            <b/>
            <sz val="11"/>
            <color indexed="10"/>
            <rFont val="ＭＳ Ｐゴシック"/>
            <family val="3"/>
            <charset val="128"/>
          </rPr>
          <t>周波数</t>
        </r>
        <r>
          <rPr>
            <sz val="11"/>
            <color indexed="14"/>
            <rFont val="ＭＳ Ｐゴシック"/>
            <family val="3"/>
            <charset val="128"/>
          </rPr>
          <t>［Frequency］</t>
        </r>
        <r>
          <rPr>
            <b/>
            <sz val="11"/>
            <color indexed="10"/>
            <rFont val="ＭＳ Ｐゴシック"/>
            <family val="3"/>
            <charset val="128"/>
          </rPr>
          <t>入力</t>
        </r>
        <r>
          <rPr>
            <b/>
            <sz val="11"/>
            <color indexed="81"/>
            <rFont val="ＭＳ Ｐゴシック"/>
            <family val="3"/>
            <charset val="128"/>
          </rPr>
          <t>　　　　　
  …</t>
        </r>
        <r>
          <rPr>
            <b/>
            <sz val="11"/>
            <color indexed="14"/>
            <rFont val="ＭＳ Ｐゴシック"/>
            <family val="3"/>
            <charset val="128"/>
          </rPr>
          <t>（注）</t>
        </r>
        <r>
          <rPr>
            <b/>
            <sz val="11"/>
            <color indexed="12"/>
            <rFont val="ＭＳ Ｐゴシック"/>
            <family val="3"/>
            <charset val="128"/>
          </rPr>
          <t>半角入力とする。</t>
        </r>
        <r>
          <rPr>
            <b/>
            <sz val="11"/>
            <color indexed="81"/>
            <rFont val="ＭＳ Ｐゴシック"/>
            <family val="3"/>
            <charset val="128"/>
          </rPr>
          <t xml:space="preserve">…
</t>
        </r>
        <r>
          <rPr>
            <sz val="18"/>
            <color indexed="81"/>
            <rFont val="ＭＳ Ｐゴシック"/>
            <family val="3"/>
            <charset val="128"/>
          </rPr>
          <t xml:space="preserve">   </t>
        </r>
        <r>
          <rPr>
            <b/>
            <sz val="11"/>
            <color indexed="10"/>
            <rFont val="ＭＳ Ｐゴシック"/>
            <family val="3"/>
            <charset val="128"/>
          </rPr>
          <t>５０</t>
        </r>
        <r>
          <rPr>
            <b/>
            <sz val="11"/>
            <color indexed="81"/>
            <rFont val="ＭＳ Ｐゴシック"/>
            <family val="3"/>
            <charset val="128"/>
          </rPr>
          <t xml:space="preserve"> 又は </t>
        </r>
        <r>
          <rPr>
            <b/>
            <sz val="11"/>
            <color indexed="10"/>
            <rFont val="ＭＳ Ｐゴシック"/>
            <family val="3"/>
            <charset val="128"/>
          </rPr>
          <t>６０</t>
        </r>
        <r>
          <rPr>
            <b/>
            <sz val="11"/>
            <color indexed="81"/>
            <rFont val="ＭＳ Ｐゴシック"/>
            <family val="3"/>
            <charset val="128"/>
          </rPr>
          <t xml:space="preserve"> </t>
        </r>
        <r>
          <rPr>
            <sz val="11"/>
            <color indexed="81"/>
            <rFont val="ＭＳ Ｐゴシック"/>
            <family val="3"/>
            <charset val="128"/>
          </rPr>
          <t>［Ｈｚ］</t>
        </r>
        <r>
          <rPr>
            <b/>
            <sz val="11"/>
            <color indexed="81"/>
            <rFont val="ＭＳ Ｐゴシック"/>
            <family val="3"/>
            <charset val="128"/>
          </rPr>
          <t>の値
　  を</t>
        </r>
        <r>
          <rPr>
            <b/>
            <sz val="11"/>
            <color indexed="10"/>
            <rFont val="ＭＳ Ｐゴシック"/>
            <family val="3"/>
            <charset val="128"/>
          </rPr>
          <t>入力</t>
        </r>
        <r>
          <rPr>
            <b/>
            <sz val="11"/>
            <color indexed="81"/>
            <rFont val="ＭＳ Ｐゴシック"/>
            <family val="3"/>
            <charset val="128"/>
          </rPr>
          <t>して下さい。</t>
        </r>
      </text>
    </comment>
    <comment ref="M12" authorId="0">
      <text>
        <r>
          <rPr>
            <sz val="14"/>
            <color indexed="10"/>
            <rFont val="ＭＳ Ｐゴシック"/>
            <family val="3"/>
            <charset val="128"/>
          </rPr>
          <t xml:space="preserve">  </t>
        </r>
        <r>
          <rPr>
            <b/>
            <sz val="11"/>
            <color indexed="10"/>
            <rFont val="ＭＳ Ｐゴシック"/>
            <family val="3"/>
            <charset val="128"/>
          </rPr>
          <t>……ご注意……</t>
        </r>
        <r>
          <rPr>
            <sz val="9"/>
            <color indexed="81"/>
            <rFont val="ＭＳ Ｐゴシック"/>
            <family val="3"/>
            <charset val="128"/>
          </rPr>
          <t xml:space="preserve">
　</t>
        </r>
        <r>
          <rPr>
            <b/>
            <sz val="10"/>
            <color indexed="12"/>
            <rFont val="ＭＳ Ｐゴシック"/>
            <family val="3"/>
            <charset val="128"/>
          </rPr>
          <t>＃Ｎ/Ａ</t>
        </r>
        <r>
          <rPr>
            <b/>
            <sz val="11"/>
            <color indexed="12"/>
            <rFont val="ＭＳ Ｐゴシック"/>
            <family val="3"/>
            <charset val="128"/>
          </rPr>
          <t xml:space="preserve"> </t>
        </r>
        <r>
          <rPr>
            <sz val="9"/>
            <color indexed="81"/>
            <rFont val="ＭＳ Ｐゴシック"/>
            <family val="3"/>
            <charset val="128"/>
          </rPr>
          <t xml:space="preserve">が表示された
　ときは､ </t>
        </r>
        <r>
          <rPr>
            <sz val="9"/>
            <color indexed="12"/>
            <rFont val="ＭＳ Ｐゴシック"/>
            <family val="3"/>
            <charset val="128"/>
          </rPr>
          <t>DATA Table</t>
        </r>
        <r>
          <rPr>
            <sz val="9"/>
            <color indexed="81"/>
            <rFont val="ＭＳ Ｐゴシック"/>
            <family val="3"/>
            <charset val="128"/>
          </rPr>
          <t xml:space="preserve"> に
　必要デ－タ を</t>
        </r>
        <r>
          <rPr>
            <sz val="9"/>
            <color indexed="10"/>
            <rFont val="ＭＳ Ｐゴシック"/>
            <family val="3"/>
            <charset val="128"/>
          </rPr>
          <t xml:space="preserve">入力 </t>
        </r>
        <r>
          <rPr>
            <sz val="9"/>
            <color indexed="81"/>
            <rFont val="ＭＳ Ｐゴシック"/>
            <family val="3"/>
            <charset val="128"/>
          </rPr>
          <t>して
　下さい。</t>
        </r>
      </text>
    </comment>
    <comment ref="AG12" authorId="0">
      <text>
        <r>
          <rPr>
            <b/>
            <sz val="18"/>
            <color indexed="12"/>
            <rFont val="ＭＳ Ｐゴシック"/>
            <family val="3"/>
            <charset val="128"/>
          </rPr>
          <t xml:space="preserve"> </t>
        </r>
        <r>
          <rPr>
            <b/>
            <sz val="12"/>
            <color indexed="12"/>
            <rFont val="ＭＳ Ｐゴシック"/>
            <family val="3"/>
            <charset val="128"/>
          </rPr>
          <t>電源電圧に対する
  線路電圧降下</t>
        </r>
        <r>
          <rPr>
            <b/>
            <sz val="10"/>
            <color indexed="12"/>
            <rFont val="ＭＳ Ｐゴシック"/>
            <family val="3"/>
            <charset val="128"/>
          </rPr>
          <t>[％]</t>
        </r>
        <r>
          <rPr>
            <sz val="9"/>
            <color indexed="81"/>
            <rFont val="ＭＳ Ｐゴシック"/>
            <family val="3"/>
            <charset val="128"/>
          </rPr>
          <t xml:space="preserve">
</t>
        </r>
      </text>
    </comment>
    <comment ref="AJ12"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F13" authorId="0">
      <text>
        <r>
          <rPr>
            <sz val="16"/>
            <color indexed="81"/>
            <rFont val="ＭＳ Ｐゴシック"/>
            <family val="3"/>
            <charset val="128"/>
          </rPr>
          <t xml:space="preserve">  </t>
        </r>
        <r>
          <rPr>
            <b/>
            <sz val="11"/>
            <color indexed="81"/>
            <rFont val="ＭＳ Ｐゴシック"/>
            <family val="3"/>
            <charset val="128"/>
          </rPr>
          <t>求めたい</t>
        </r>
        <r>
          <rPr>
            <b/>
            <sz val="11"/>
            <color indexed="10"/>
            <rFont val="ＭＳ Ｐゴシック"/>
            <family val="3"/>
            <charset val="128"/>
          </rPr>
          <t>導体温度</t>
        </r>
        <r>
          <rPr>
            <b/>
            <sz val="11"/>
            <color indexed="81"/>
            <rFont val="ＭＳ Ｐゴシック"/>
            <family val="3"/>
            <charset val="128"/>
          </rPr>
          <t>を</t>
        </r>
        <r>
          <rPr>
            <b/>
            <sz val="11"/>
            <color indexed="10"/>
            <rFont val="ＭＳ Ｐゴシック"/>
            <family val="3"/>
            <charset val="128"/>
          </rPr>
          <t>入力</t>
        </r>
        <r>
          <rPr>
            <b/>
            <sz val="11"/>
            <color indexed="81"/>
            <rFont val="ＭＳ Ｐゴシック"/>
            <family val="3"/>
            <charset val="128"/>
          </rPr>
          <t xml:space="preserve">
   して下さい。</t>
        </r>
        <r>
          <rPr>
            <sz val="11"/>
            <color indexed="81"/>
            <rFont val="ＭＳ Ｐゴシック"/>
            <family val="3"/>
            <charset val="128"/>
          </rPr>
          <t>（</t>
        </r>
        <r>
          <rPr>
            <b/>
            <sz val="11"/>
            <color indexed="12"/>
            <rFont val="ＭＳ Ｐゴシック"/>
            <family val="3"/>
            <charset val="128"/>
          </rPr>
          <t>各行</t>
        </r>
        <r>
          <rPr>
            <sz val="11"/>
            <color indexed="81"/>
            <rFont val="ＭＳ Ｐゴシック"/>
            <family val="3"/>
            <charset val="128"/>
          </rPr>
          <t>）</t>
        </r>
        <r>
          <rPr>
            <sz val="9"/>
            <color indexed="81"/>
            <rFont val="ＭＳ Ｐゴシック"/>
            <family val="3"/>
            <charset val="128"/>
          </rPr>
          <t xml:space="preserve">
</t>
        </r>
        <r>
          <rPr>
            <sz val="14"/>
            <color indexed="81"/>
            <rFont val="ＭＳ Ｐゴシック"/>
            <family val="3"/>
            <charset val="128"/>
          </rPr>
          <t>　　　</t>
        </r>
        <r>
          <rPr>
            <sz val="9"/>
            <color indexed="12"/>
            <rFont val="ＭＳ Ｐゴシック"/>
            <family val="3"/>
            <charset val="128"/>
          </rPr>
          <t>--半角入力です。--</t>
        </r>
        <r>
          <rPr>
            <sz val="9"/>
            <color indexed="81"/>
            <rFont val="ＭＳ Ｐゴシック"/>
            <family val="3"/>
            <charset val="128"/>
          </rPr>
          <t xml:space="preserve">
         -100[℃] ～ +300[℃]
　</t>
        </r>
        <r>
          <rPr>
            <sz val="9"/>
            <color indexed="14"/>
            <rFont val="ＭＳ Ｐゴシック"/>
            <family val="3"/>
            <charset val="128"/>
          </rPr>
          <t>ご注意</t>
        </r>
        <r>
          <rPr>
            <sz val="9"/>
            <color indexed="81"/>
            <rFont val="ＭＳ Ｐゴシック"/>
            <family val="3"/>
            <charset val="128"/>
          </rPr>
          <t xml:space="preserve">：入力をしないと、０ [℃]で
            計算します。
</t>
        </r>
        <r>
          <rPr>
            <sz val="16"/>
            <color indexed="81"/>
            <rFont val="ＭＳ Ｐゴシック"/>
            <family val="3"/>
            <charset val="128"/>
          </rPr>
          <t xml:space="preserve">  </t>
        </r>
        <r>
          <rPr>
            <b/>
            <sz val="11"/>
            <color indexed="12"/>
            <rFont val="ＭＳ Ｐゴシック"/>
            <family val="3"/>
            <charset val="128"/>
          </rPr>
          <t>導体温度について</t>
        </r>
        <r>
          <rPr>
            <sz val="9"/>
            <color indexed="81"/>
            <rFont val="ＭＳ Ｐゴシック"/>
            <family val="3"/>
            <charset val="128"/>
          </rPr>
          <t xml:space="preserve">
　　</t>
        </r>
        <r>
          <rPr>
            <sz val="10"/>
            <color indexed="12"/>
            <rFont val="ＭＳ Ｐゴシック"/>
            <family val="3"/>
            <charset val="128"/>
          </rPr>
          <t>２０[℃]  は、基準温度で ＥＰＳ､
　 天井内等の周囲温度を考慮する
　 と､寒冷地を除き</t>
        </r>
        <r>
          <rPr>
            <sz val="10"/>
            <color indexed="10"/>
            <rFont val="ＭＳ Ｐゴシック"/>
            <family val="3"/>
            <charset val="128"/>
          </rPr>
          <t xml:space="preserve"> 50～60 [℃] </t>
        </r>
        <r>
          <rPr>
            <sz val="10"/>
            <color indexed="12"/>
            <rFont val="ＭＳ Ｐゴシック"/>
            <family val="3"/>
            <charset val="128"/>
          </rPr>
          <t xml:space="preserve">の
　 値が現実的です。　またＣＶケｰ
　 ブルの導体最高許容温度は、
　 </t>
        </r>
        <r>
          <rPr>
            <sz val="10"/>
            <color indexed="10"/>
            <rFont val="ＭＳ Ｐゴシック"/>
            <family val="3"/>
            <charset val="128"/>
          </rPr>
          <t>90[℃]</t>
        </r>
        <r>
          <rPr>
            <sz val="10"/>
            <color indexed="12"/>
            <rFont val="ＭＳ Ｐゴシック"/>
            <family val="3"/>
            <charset val="128"/>
          </rPr>
          <t>ですから、この値も無視で
　 きません。</t>
        </r>
      </text>
    </comment>
    <comment ref="L13" authorId="0">
      <text>
        <r>
          <rPr>
            <sz val="16"/>
            <color indexed="81"/>
            <rFont val="ＭＳ Ｐゴシック"/>
            <family val="3"/>
            <charset val="128"/>
          </rPr>
          <t xml:space="preserve">  </t>
        </r>
        <r>
          <rPr>
            <b/>
            <sz val="11"/>
            <color indexed="81"/>
            <rFont val="ＭＳ Ｐゴシック"/>
            <family val="3"/>
            <charset val="128"/>
          </rPr>
          <t>…</t>
        </r>
        <r>
          <rPr>
            <b/>
            <sz val="11"/>
            <color indexed="14"/>
            <rFont val="ＭＳ Ｐゴシック"/>
            <family val="3"/>
            <charset val="128"/>
          </rPr>
          <t>（注）</t>
        </r>
        <r>
          <rPr>
            <b/>
            <sz val="11"/>
            <color indexed="12"/>
            <rFont val="ＭＳ Ｐゴシック"/>
            <family val="3"/>
            <charset val="128"/>
          </rPr>
          <t>半角入力とする。</t>
        </r>
        <r>
          <rPr>
            <b/>
            <sz val="11"/>
            <color indexed="81"/>
            <rFont val="ＭＳ Ｐゴシック"/>
            <family val="3"/>
            <charset val="128"/>
          </rPr>
          <t>…
　</t>
        </r>
        <r>
          <rPr>
            <sz val="10"/>
            <color indexed="81"/>
            <rFont val="ＭＳ Ｐゴシック"/>
            <family val="3"/>
            <charset val="128"/>
          </rPr>
          <t>ＤＡＴＡ Ｔａｂｌｅ には、下記のデ－タが
　登録されています。</t>
        </r>
        <r>
          <rPr>
            <sz val="10"/>
            <color indexed="12"/>
            <rFont val="ＭＳ Ｐゴシック"/>
            <family val="3"/>
            <charset val="128"/>
          </rPr>
          <t>（50/60Hz）</t>
        </r>
        <r>
          <rPr>
            <sz val="11"/>
            <color indexed="81"/>
            <rFont val="ＭＳ Ｐゴシック"/>
            <family val="3"/>
            <charset val="128"/>
          </rPr>
          <t xml:space="preserve">
</t>
        </r>
        <r>
          <rPr>
            <sz val="10"/>
            <color indexed="81"/>
            <rFont val="ＭＳ Ｐゴシック"/>
            <family val="3"/>
            <charset val="128"/>
          </rPr>
          <t xml:space="preserve">
   </t>
        </r>
        <r>
          <rPr>
            <sz val="9"/>
            <color indexed="81"/>
            <rFont val="ＭＳ Ｐゴシック"/>
            <family val="3"/>
            <charset val="128"/>
          </rPr>
          <t xml:space="preserve"> ３φ３Ｗ－</t>
        </r>
        <r>
          <rPr>
            <b/>
            <sz val="9"/>
            <color indexed="81"/>
            <rFont val="ＭＳ Ｐゴシック"/>
            <family val="3"/>
            <charset val="128"/>
          </rPr>
          <t>２０　～　１０００</t>
        </r>
        <r>
          <rPr>
            <sz val="9"/>
            <color indexed="81"/>
            <rFont val="ＭＳ Ｐゴシック"/>
            <family val="3"/>
            <charset val="128"/>
          </rPr>
          <t>［ＫＶＡ］
　　１φ３Ｗ－</t>
        </r>
        <r>
          <rPr>
            <b/>
            <sz val="9"/>
            <color indexed="81"/>
            <rFont val="ＭＳ Ｐゴシック"/>
            <family val="3"/>
            <charset val="128"/>
          </rPr>
          <t>１０　～　  ５００</t>
        </r>
        <r>
          <rPr>
            <sz val="9"/>
            <color indexed="81"/>
            <rFont val="ＭＳ Ｐゴシック"/>
            <family val="3"/>
            <charset val="128"/>
          </rPr>
          <t>［ＫＶＡ］</t>
        </r>
        <r>
          <rPr>
            <b/>
            <sz val="9"/>
            <color indexed="81"/>
            <rFont val="ＭＳ Ｐゴシック"/>
            <family val="3"/>
            <charset val="128"/>
          </rPr>
          <t xml:space="preserve">
</t>
        </r>
        <r>
          <rPr>
            <sz val="9"/>
            <color indexed="81"/>
            <rFont val="ＭＳ Ｐゴシック"/>
            <family val="3"/>
            <charset val="128"/>
          </rPr>
          <t xml:space="preserve">
  ご使用変圧器の </t>
        </r>
        <r>
          <rPr>
            <sz val="9"/>
            <color indexed="10"/>
            <rFont val="ＭＳ Ｐゴシック"/>
            <family val="3"/>
            <charset val="128"/>
          </rPr>
          <t>％Ｒ</t>
        </r>
        <r>
          <rPr>
            <sz val="9"/>
            <color indexed="81"/>
            <rFont val="ＭＳ Ｐゴシック"/>
            <family val="3"/>
            <charset val="128"/>
          </rPr>
          <t>，</t>
        </r>
        <r>
          <rPr>
            <sz val="9"/>
            <color indexed="10"/>
            <rFont val="ＭＳ Ｐゴシック"/>
            <family val="3"/>
            <charset val="128"/>
          </rPr>
          <t>％Ｘ</t>
        </r>
        <r>
          <rPr>
            <sz val="9"/>
            <color indexed="81"/>
            <rFont val="ＭＳ Ｐゴシック"/>
            <family val="3"/>
            <charset val="128"/>
          </rPr>
          <t xml:space="preserve"> をお確かめ
　のうえ、</t>
        </r>
        <r>
          <rPr>
            <sz val="9"/>
            <color indexed="12"/>
            <rFont val="ＭＳ Ｐゴシック"/>
            <family val="3"/>
            <charset val="128"/>
          </rPr>
          <t>ＤＡＴＡ　Ｔａｂｌｅ</t>
        </r>
        <r>
          <rPr>
            <sz val="9"/>
            <color indexed="81"/>
            <rFont val="ＭＳ Ｐゴシック"/>
            <family val="3"/>
            <charset val="128"/>
          </rPr>
          <t xml:space="preserve"> を修正して計算
　されると正確な値が求められます。</t>
        </r>
      </text>
    </comment>
    <comment ref="M13" authorId="0">
      <text>
        <r>
          <rPr>
            <sz val="18"/>
            <color indexed="10"/>
            <rFont val="ＭＳ Ｐゴシック"/>
            <family val="3"/>
            <charset val="128"/>
          </rPr>
          <t xml:space="preserve">  </t>
        </r>
        <r>
          <rPr>
            <b/>
            <sz val="12"/>
            <color indexed="10"/>
            <rFont val="ＭＳ Ｐゴシック"/>
            <family val="3"/>
            <charset val="128"/>
          </rPr>
          <t>自動計算</t>
        </r>
        <r>
          <rPr>
            <sz val="11"/>
            <color indexed="81"/>
            <rFont val="ＭＳ Ｐゴシック"/>
            <family val="3"/>
            <charset val="128"/>
          </rPr>
          <t>（変圧器定格電流）</t>
        </r>
        <r>
          <rPr>
            <b/>
            <sz val="9"/>
            <color indexed="81"/>
            <rFont val="ＭＳ Ｐゴシック"/>
            <family val="3"/>
            <charset val="128"/>
          </rPr>
          <t xml:space="preserve">
　</t>
        </r>
        <r>
          <rPr>
            <sz val="10"/>
            <color indexed="12"/>
            <rFont val="ＭＳ Ｐゴシック"/>
            <family val="3"/>
            <charset val="128"/>
          </rPr>
          <t>３φの場合</t>
        </r>
        <r>
          <rPr>
            <b/>
            <sz val="9"/>
            <color indexed="81"/>
            <rFont val="ＭＳ Ｐゴシック"/>
            <family val="3"/>
            <charset val="128"/>
          </rPr>
          <t xml:space="preserve">
　　</t>
        </r>
        <r>
          <rPr>
            <sz val="10"/>
            <color indexed="81"/>
            <rFont val="ＭＳ Ｐゴシック"/>
            <family val="3"/>
            <charset val="128"/>
          </rPr>
          <t>容量［ＫＶＡ］／（√３ ｘ 二次電圧）</t>
        </r>
        <r>
          <rPr>
            <b/>
            <sz val="9"/>
            <color indexed="81"/>
            <rFont val="ＭＳ Ｐゴシック"/>
            <family val="3"/>
            <charset val="128"/>
          </rPr>
          <t xml:space="preserve">
　</t>
        </r>
        <r>
          <rPr>
            <sz val="10"/>
            <color indexed="12"/>
            <rFont val="ＭＳ Ｐゴシック"/>
            <family val="3"/>
            <charset val="128"/>
          </rPr>
          <t>１φの場合</t>
        </r>
        <r>
          <rPr>
            <b/>
            <sz val="9"/>
            <color indexed="81"/>
            <rFont val="ＭＳ Ｐゴシック"/>
            <family val="3"/>
            <charset val="128"/>
          </rPr>
          <t xml:space="preserve">
　　</t>
        </r>
        <r>
          <rPr>
            <sz val="10"/>
            <color indexed="81"/>
            <rFont val="ＭＳ Ｐゴシック"/>
            <family val="3"/>
            <charset val="128"/>
          </rPr>
          <t>容量［ＫＶＡ］／二次電圧</t>
        </r>
      </text>
    </comment>
    <comment ref="AF13" authorId="0">
      <text>
        <r>
          <rPr>
            <b/>
            <sz val="16"/>
            <color indexed="12"/>
            <rFont val="ＭＳ Ｐゴシック"/>
            <family val="3"/>
            <charset val="128"/>
          </rPr>
          <t xml:space="preserve"> </t>
        </r>
        <r>
          <rPr>
            <b/>
            <sz val="14"/>
            <color indexed="12"/>
            <rFont val="ＭＳ Ｐゴシック"/>
            <family val="3"/>
            <charset val="128"/>
          </rPr>
          <t>回路図 Ｅ</t>
        </r>
        <r>
          <rPr>
            <b/>
            <sz val="8"/>
            <color indexed="12"/>
            <rFont val="ＭＳ Ｐゴシック"/>
            <family val="3"/>
            <charset val="128"/>
          </rPr>
          <t xml:space="preserve">Ｂ </t>
        </r>
        <r>
          <rPr>
            <b/>
            <sz val="12"/>
            <color indexed="12"/>
            <rFont val="ＭＳ Ｐゴシック"/>
            <family val="3"/>
            <charset val="128"/>
          </rPr>
          <t>部
  の電圧</t>
        </r>
        <r>
          <rPr>
            <b/>
            <sz val="10"/>
            <color indexed="12"/>
            <rFont val="ＭＳ Ｐゴシック"/>
            <family val="3"/>
            <charset val="128"/>
          </rPr>
          <t xml:space="preserve"> ［Ｖ］</t>
        </r>
      </text>
    </comment>
    <comment ref="AJ13"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B46" authorId="0">
      <text>
        <r>
          <rPr>
            <sz val="16"/>
            <color indexed="8"/>
            <rFont val="ＭＳ Ｐゴシック"/>
            <family val="3"/>
            <charset val="128"/>
          </rPr>
          <t xml:space="preserve">  　     </t>
        </r>
        <r>
          <rPr>
            <b/>
            <sz val="11"/>
            <color indexed="10"/>
            <rFont val="ＭＳ Ｐゴシック"/>
            <family val="3"/>
            <charset val="128"/>
          </rPr>
          <t>Drop  down LIST</t>
        </r>
        <r>
          <rPr>
            <b/>
            <sz val="11"/>
            <color indexed="8"/>
            <rFont val="ＭＳ Ｐゴシック"/>
            <family val="3"/>
            <charset val="128"/>
          </rPr>
          <t xml:space="preserve">
</t>
        </r>
        <r>
          <rPr>
            <sz val="10"/>
            <color indexed="8"/>
            <rFont val="ＭＳ ゴシック"/>
            <family val="3"/>
            <charset val="128"/>
          </rPr>
          <t xml:space="preserve">  </t>
        </r>
        <r>
          <rPr>
            <b/>
            <sz val="10"/>
            <color indexed="12"/>
            <rFont val="ＭＳ Ｐ明朝"/>
            <family val="1"/>
            <charset val="128"/>
          </rPr>
          <t>An addition, change, and deletion
   can do this registration cell.</t>
        </r>
      </text>
    </comment>
  </commentList>
</comments>
</file>

<file path=xl/comments2.xml><?xml version="1.0" encoding="utf-8"?>
<comments xmlns="http://schemas.openxmlformats.org/spreadsheetml/2006/main">
  <authors>
    <author>佐海 恭三</author>
  </authors>
  <commentList>
    <comment ref="B1" authorId="0">
      <text>
        <r>
          <rPr>
            <b/>
            <sz val="20"/>
            <color indexed="81"/>
            <rFont val="ＭＳ Ｐゴシック"/>
            <family val="3"/>
            <charset val="128"/>
          </rPr>
          <t xml:space="preserve"> この ＤＡＴＡ Ｔａｂｌｅ は、
 </t>
        </r>
        <r>
          <rPr>
            <b/>
            <sz val="20"/>
            <color indexed="10"/>
            <rFont val="ＭＳ Ｐゴシック"/>
            <family val="3"/>
            <charset val="128"/>
          </rPr>
          <t>セルの保護</t>
        </r>
        <r>
          <rPr>
            <b/>
            <sz val="20"/>
            <color indexed="81"/>
            <rFont val="ＭＳ Ｐゴシック"/>
            <family val="3"/>
            <charset val="128"/>
          </rPr>
          <t>をしてない
 のでデ－タの管理には
 十分</t>
        </r>
        <r>
          <rPr>
            <b/>
            <sz val="20"/>
            <color indexed="10"/>
            <rFont val="ＭＳ Ｐゴシック"/>
            <family val="3"/>
            <charset val="128"/>
          </rPr>
          <t>注意</t>
        </r>
        <r>
          <rPr>
            <b/>
            <sz val="20"/>
            <color indexed="81"/>
            <rFont val="ＭＳ Ｐゴシック"/>
            <family val="3"/>
            <charset val="128"/>
          </rPr>
          <t xml:space="preserve">して下さい。
</t>
        </r>
        <r>
          <rPr>
            <sz val="9"/>
            <color indexed="81"/>
            <rFont val="ＭＳ Ｐゴシック"/>
            <family val="3"/>
            <charset val="128"/>
          </rPr>
          <t xml:space="preserve">
</t>
        </r>
      </text>
    </comment>
    <comment ref="E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J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O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T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X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住友電工(株)
　電線技術資料
　</t>
        </r>
        <r>
          <rPr>
            <sz val="9"/>
            <color indexed="12"/>
            <rFont val="ＭＳ Ｐゴシック"/>
            <family val="3"/>
            <charset val="128"/>
          </rPr>
          <t>１９９１．３ &lt;</t>
        </r>
        <r>
          <rPr>
            <sz val="10"/>
            <color indexed="12"/>
            <rFont val="ＭＳ Ｐゴシック"/>
            <family val="3"/>
            <charset val="128"/>
          </rPr>
          <t>P475</t>
        </r>
        <r>
          <rPr>
            <sz val="9"/>
            <color indexed="12"/>
            <rFont val="ＭＳ Ｐゴシック"/>
            <family val="3"/>
            <charset val="128"/>
          </rPr>
          <t>)</t>
        </r>
      </text>
    </comment>
    <comment ref="AB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住友電工(株)
　電線技術資料
　</t>
        </r>
        <r>
          <rPr>
            <sz val="9"/>
            <color indexed="12"/>
            <rFont val="ＭＳ Ｐゴシック"/>
            <family val="3"/>
            <charset val="128"/>
          </rPr>
          <t>１９９１．３ (</t>
        </r>
        <r>
          <rPr>
            <sz val="10"/>
            <color indexed="12"/>
            <rFont val="ＭＳ Ｐゴシック"/>
            <family val="3"/>
            <charset val="128"/>
          </rPr>
          <t>P478</t>
        </r>
        <r>
          <rPr>
            <sz val="9"/>
            <color indexed="12"/>
            <rFont val="ＭＳ Ｐゴシック"/>
            <family val="3"/>
            <charset val="128"/>
          </rPr>
          <t>)</t>
        </r>
      </text>
    </comment>
    <comment ref="E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J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O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T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X23"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住友電工(株)
　電線技術資料
　</t>
        </r>
        <r>
          <rPr>
            <sz val="9"/>
            <color indexed="12"/>
            <rFont val="ＭＳ Ｐゴシック"/>
            <family val="3"/>
            <charset val="128"/>
          </rPr>
          <t>１９９１．３ (</t>
        </r>
        <r>
          <rPr>
            <sz val="10"/>
            <color indexed="12"/>
            <rFont val="ＭＳ Ｐゴシック"/>
            <family val="3"/>
            <charset val="128"/>
          </rPr>
          <t>P478</t>
        </r>
        <r>
          <rPr>
            <sz val="9"/>
            <color indexed="12"/>
            <rFont val="ＭＳ Ｐゴシック"/>
            <family val="3"/>
            <charset val="128"/>
          </rPr>
          <t>)</t>
        </r>
      </text>
    </comment>
    <comment ref="AB23" authorId="0">
      <text>
        <r>
          <rPr>
            <b/>
            <sz val="12"/>
            <color indexed="10"/>
            <rFont val="ＭＳ Ｐゴシック"/>
            <family val="3"/>
            <charset val="128"/>
          </rPr>
          <t xml:space="preserve"> </t>
        </r>
        <r>
          <rPr>
            <b/>
            <sz val="14"/>
            <color indexed="10"/>
            <rFont val="ＭＳ Ｐゴシック"/>
            <family val="3"/>
            <charset val="128"/>
          </rPr>
          <t>USER</t>
        </r>
        <r>
          <rPr>
            <b/>
            <sz val="12"/>
            <color indexed="10"/>
            <rFont val="ＭＳ Ｐゴシック"/>
            <family val="3"/>
            <charset val="128"/>
          </rPr>
          <t xml:space="preserve">
 登録用 </t>
        </r>
        <r>
          <rPr>
            <sz val="9"/>
            <color indexed="81"/>
            <rFont val="ＭＳ Ｐゴシック"/>
            <family val="3"/>
            <charset val="128"/>
          </rPr>
          <t xml:space="preserve">
</t>
        </r>
      </text>
    </comment>
    <comment ref="E36" authorId="0">
      <text>
        <r>
          <rPr>
            <b/>
            <sz val="12"/>
            <color indexed="10"/>
            <rFont val="ＭＳ Ｐゴシック"/>
            <family val="3"/>
            <charset val="128"/>
          </rPr>
          <t xml:space="preserve"> </t>
        </r>
        <r>
          <rPr>
            <b/>
            <sz val="14"/>
            <color indexed="10"/>
            <rFont val="ＭＳ Ｐゴシック"/>
            <family val="3"/>
            <charset val="128"/>
          </rPr>
          <t>USER</t>
        </r>
        <r>
          <rPr>
            <b/>
            <sz val="12"/>
            <color indexed="10"/>
            <rFont val="ＭＳ Ｐゴシック"/>
            <family val="3"/>
            <charset val="128"/>
          </rPr>
          <t xml:space="preserve">
 登録用 </t>
        </r>
        <r>
          <rPr>
            <sz val="9"/>
            <color indexed="81"/>
            <rFont val="ＭＳ Ｐゴシック"/>
            <family val="3"/>
            <charset val="128"/>
          </rPr>
          <t xml:space="preserve">
</t>
        </r>
      </text>
    </comment>
    <comment ref="J36" authorId="0">
      <text>
        <r>
          <rPr>
            <b/>
            <sz val="12"/>
            <color indexed="10"/>
            <rFont val="ＭＳ Ｐゴシック"/>
            <family val="3"/>
            <charset val="128"/>
          </rPr>
          <t xml:space="preserve"> </t>
        </r>
        <r>
          <rPr>
            <b/>
            <sz val="14"/>
            <color indexed="10"/>
            <rFont val="ＭＳ Ｐゴシック"/>
            <family val="3"/>
            <charset val="128"/>
          </rPr>
          <t>USER</t>
        </r>
        <r>
          <rPr>
            <b/>
            <sz val="12"/>
            <color indexed="10"/>
            <rFont val="ＭＳ Ｐゴシック"/>
            <family val="3"/>
            <charset val="128"/>
          </rPr>
          <t xml:space="preserve">
 登録用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ＥＳＥ SERVICE</author>
  </authors>
  <commentList>
    <comment ref="G7" authorId="0">
      <text>
        <r>
          <rPr>
            <b/>
            <sz val="10"/>
            <color indexed="81"/>
            <rFont val="ＭＳ Ｐ明朝"/>
            <family val="1"/>
            <charset val="128"/>
          </rPr>
          <t xml:space="preserve"> 　</t>
        </r>
        <r>
          <rPr>
            <b/>
            <sz val="10"/>
            <color indexed="10"/>
            <rFont val="ＭＳ Ｐ明朝"/>
            <family val="1"/>
            <charset val="128"/>
          </rPr>
          <t>三菱電機株式会社</t>
        </r>
        <r>
          <rPr>
            <b/>
            <sz val="14"/>
            <color indexed="81"/>
            <rFont val="ＭＳ Ｐ明朝"/>
            <family val="1"/>
            <charset val="128"/>
          </rPr>
          <t>　</t>
        </r>
        <r>
          <rPr>
            <b/>
            <sz val="10"/>
            <color indexed="81"/>
            <rFont val="ＭＳ Ｐ明朝"/>
            <family val="1"/>
            <charset val="128"/>
          </rPr>
          <t xml:space="preserve">
　　</t>
        </r>
        <r>
          <rPr>
            <sz val="9"/>
            <color indexed="81"/>
            <rFont val="ＭＳ Ｐ明朝"/>
            <family val="1"/>
            <charset val="128"/>
          </rPr>
          <t>高性能省エネモータ　
　</t>
        </r>
        <r>
          <rPr>
            <sz val="9"/>
            <color indexed="12"/>
            <rFont val="ＭＳ Ｐ明朝"/>
            <family val="1"/>
            <charset val="128"/>
          </rPr>
          <t>　スーパーラインエコシリーズ　
　　　　　　　（２００１年１０月）</t>
        </r>
      </text>
    </comment>
    <comment ref="S7" authorId="0">
      <text>
        <r>
          <rPr>
            <b/>
            <sz val="10"/>
            <color indexed="81"/>
            <rFont val="ＭＳ Ｐ明朝"/>
            <family val="1"/>
            <charset val="128"/>
          </rPr>
          <t xml:space="preserve"> 　</t>
        </r>
        <r>
          <rPr>
            <b/>
            <sz val="10"/>
            <color indexed="10"/>
            <rFont val="ＭＳ Ｐ明朝"/>
            <family val="1"/>
            <charset val="128"/>
          </rPr>
          <t>三菱電機株式会社</t>
        </r>
        <r>
          <rPr>
            <b/>
            <sz val="14"/>
            <color indexed="81"/>
            <rFont val="ＭＳ Ｐ明朝"/>
            <family val="1"/>
            <charset val="128"/>
          </rPr>
          <t>　</t>
        </r>
        <r>
          <rPr>
            <b/>
            <sz val="10"/>
            <color indexed="81"/>
            <rFont val="ＭＳ Ｐ明朝"/>
            <family val="1"/>
            <charset val="128"/>
          </rPr>
          <t xml:space="preserve">
　　</t>
        </r>
        <r>
          <rPr>
            <sz val="9"/>
            <color indexed="81"/>
            <rFont val="ＭＳ Ｐ明朝"/>
            <family val="1"/>
            <charset val="128"/>
          </rPr>
          <t>高性能省エネモータ　
　</t>
        </r>
        <r>
          <rPr>
            <sz val="9"/>
            <color indexed="12"/>
            <rFont val="ＭＳ Ｐ明朝"/>
            <family val="1"/>
            <charset val="128"/>
          </rPr>
          <t>　スーパーラインエコシリーズ　
　　　　　　　（２００１年１０月）</t>
        </r>
      </text>
    </comment>
  </commentList>
</comments>
</file>

<file path=xl/sharedStrings.xml><?xml version="1.0" encoding="utf-8"?>
<sst xmlns="http://schemas.openxmlformats.org/spreadsheetml/2006/main" count="496" uniqueCount="342">
  <si>
    <t>△</t>
    <phoneticPr fontId="3"/>
  </si>
  <si>
    <t xml:space="preserve">No.      </t>
    <phoneticPr fontId="3"/>
  </si>
  <si>
    <r>
      <t xml:space="preserve"> </t>
    </r>
    <r>
      <rPr>
        <b/>
        <i/>
        <sz val="8"/>
        <rFont val="Meiryo UI"/>
        <family val="3"/>
        <charset val="128"/>
      </rPr>
      <t>639 Yamanoboh-chyoh,Kashihara-city,Nara,</t>
    </r>
    <r>
      <rPr>
        <i/>
        <sz val="8"/>
        <rFont val="Meiryo UI"/>
        <family val="3"/>
        <charset val="128"/>
      </rPr>
      <t>634-0071</t>
    </r>
    <phoneticPr fontId="3"/>
  </si>
  <si>
    <r>
      <t xml:space="preserve"> </t>
    </r>
    <r>
      <rPr>
        <sz val="10"/>
        <rFont val="Meiryo UI"/>
        <family val="3"/>
        <charset val="128"/>
      </rPr>
      <t xml:space="preserve">   E-mail：</t>
    </r>
    <r>
      <rPr>
        <b/>
        <sz val="11"/>
        <color rgb="FF0070C0"/>
        <rFont val="Times New Roman"/>
        <family val="1"/>
      </rPr>
      <t>recs@kcn.jp</t>
    </r>
    <phoneticPr fontId="3"/>
  </si>
  <si>
    <r>
      <rPr>
        <sz val="10"/>
        <rFont val="Times New Roman"/>
        <family val="1"/>
      </rPr>
      <t xml:space="preserve">       </t>
    </r>
    <r>
      <rPr>
        <sz val="10"/>
        <rFont val="Meiryo UI"/>
        <family val="3"/>
        <charset val="128"/>
      </rPr>
      <t>ＵＲＬ：</t>
    </r>
    <r>
      <rPr>
        <b/>
        <sz val="11"/>
        <color rgb="FF0070C0"/>
        <rFont val="Times New Roman"/>
        <family val="1"/>
      </rPr>
      <t>www.eses.center</t>
    </r>
    <phoneticPr fontId="3"/>
  </si>
  <si>
    <t>ル</t>
    <phoneticPr fontId="3"/>
  </si>
  <si>
    <t>周囲温度</t>
    <rPh sb="0" eb="2">
      <t>シュウイ</t>
    </rPh>
    <rPh sb="2" eb="4">
      <t>オンド</t>
    </rPh>
    <phoneticPr fontId="3"/>
  </si>
  <si>
    <t>電線-1</t>
    <rPh sb="0" eb="2">
      <t>デンセン</t>
    </rPh>
    <phoneticPr fontId="3"/>
  </si>
  <si>
    <t>電線-2</t>
    <rPh sb="0" eb="2">
      <t>デンセン</t>
    </rPh>
    <phoneticPr fontId="3"/>
  </si>
  <si>
    <t>電線-3</t>
    <rPh sb="0" eb="2">
      <t>デンセン</t>
    </rPh>
    <phoneticPr fontId="3"/>
  </si>
  <si>
    <t>出力KW</t>
    <rPh sb="0" eb="2">
      <t>シュツリョク</t>
    </rPh>
    <phoneticPr fontId="3"/>
  </si>
  <si>
    <t>600V CV-3C</t>
    <phoneticPr fontId="3"/>
  </si>
  <si>
    <t>600V CE-3C</t>
    <phoneticPr fontId="3"/>
  </si>
  <si>
    <t>600V CE-T</t>
    <phoneticPr fontId="3"/>
  </si>
  <si>
    <t>600V CV-T</t>
    <phoneticPr fontId="3"/>
  </si>
  <si>
    <t>台数</t>
    <rPh sb="0" eb="2">
      <t>ダイスウ</t>
    </rPh>
    <phoneticPr fontId="3"/>
  </si>
  <si>
    <t>低圧コンデンサ容量</t>
    <rPh sb="0" eb="2">
      <t>テイアツ</t>
    </rPh>
    <rPh sb="2" eb="5">
      <t>シンコウ</t>
    </rPh>
    <rPh sb="7" eb="9">
      <t>ヨウリョウ</t>
    </rPh>
    <phoneticPr fontId="3"/>
  </si>
  <si>
    <t>系　統 　　　　番　号</t>
    <rPh sb="0" eb="3">
      <t>ケイトウ</t>
    </rPh>
    <phoneticPr fontId="3"/>
  </si>
  <si>
    <t>適　用　区　間</t>
    <rPh sb="0" eb="3">
      <t>テキヨウ</t>
    </rPh>
    <rPh sb="4" eb="7">
      <t>クカン</t>
    </rPh>
    <phoneticPr fontId="3"/>
  </si>
  <si>
    <t>配　電　側　機　器</t>
    <rPh sb="0" eb="1">
      <t>ハイソウ</t>
    </rPh>
    <rPh sb="1" eb="3">
      <t>ソウデン</t>
    </rPh>
    <rPh sb="4" eb="5">
      <t>カワ</t>
    </rPh>
    <rPh sb="6" eb="9">
      <t>キキ</t>
    </rPh>
    <phoneticPr fontId="3"/>
  </si>
  <si>
    <t>負　　　荷　　　側　　　機　　　器</t>
    <rPh sb="0" eb="5">
      <t>フカ</t>
    </rPh>
    <rPh sb="8" eb="9">
      <t>カワ</t>
    </rPh>
    <rPh sb="12" eb="17">
      <t>キキ</t>
    </rPh>
    <phoneticPr fontId="3"/>
  </si>
  <si>
    <r>
      <t>選　定　電　</t>
    </r>
    <r>
      <rPr>
        <sz val="11"/>
        <rFont val="ＭＳ Ｐゴシック"/>
        <family val="3"/>
        <charset val="128"/>
      </rPr>
      <t>線</t>
    </r>
    <r>
      <rPr>
        <sz val="11"/>
        <rFont val="ＭＳ Ｐゴシック"/>
        <family val="3"/>
        <charset val="128"/>
      </rPr>
      <t xml:space="preserve"> </t>
    </r>
    <r>
      <rPr>
        <sz val="11"/>
        <rFont val="ＭＳ Ｐゴシック"/>
        <family val="3"/>
        <charset val="128"/>
      </rPr>
      <t>－１</t>
    </r>
    <rPh sb="0" eb="3">
      <t>センテイ</t>
    </rPh>
    <rPh sb="4" eb="7">
      <t>デンセン</t>
    </rPh>
    <phoneticPr fontId="3"/>
  </si>
  <si>
    <r>
      <t>選　定　電　線</t>
    </r>
    <r>
      <rPr>
        <sz val="11"/>
        <rFont val="ＭＳ Ｐゴシック"/>
        <family val="3"/>
        <charset val="128"/>
      </rPr>
      <t xml:space="preserve"> </t>
    </r>
    <r>
      <rPr>
        <sz val="11"/>
        <rFont val="ＭＳ Ｐゴシック"/>
        <family val="3"/>
        <charset val="128"/>
      </rPr>
      <t>－２</t>
    </r>
    <rPh sb="0" eb="3">
      <t>センテイ</t>
    </rPh>
    <rPh sb="4" eb="7">
      <t>デンセン</t>
    </rPh>
    <phoneticPr fontId="3"/>
  </si>
  <si>
    <r>
      <t>配 電</t>
    </r>
    <r>
      <rPr>
        <sz val="11"/>
        <rFont val="ＭＳ Ｐゴシック"/>
        <family val="3"/>
        <charset val="128"/>
      </rPr>
      <t xml:space="preserve"> </t>
    </r>
    <r>
      <rPr>
        <sz val="11"/>
        <rFont val="ＭＳ Ｐゴシック"/>
        <family val="3"/>
        <charset val="128"/>
      </rPr>
      <t>側</t>
    </r>
    <rPh sb="0" eb="1">
      <t>ハイデン</t>
    </rPh>
    <rPh sb="1" eb="3">
      <t>ソウデン</t>
    </rPh>
    <rPh sb="4" eb="5">
      <t>ガワ</t>
    </rPh>
    <phoneticPr fontId="3"/>
  </si>
  <si>
    <t>負　　荷　　側</t>
    <rPh sb="0" eb="1">
      <t>フカ</t>
    </rPh>
    <rPh sb="3" eb="4">
      <t>ジュデン</t>
    </rPh>
    <rPh sb="6" eb="7">
      <t>ガワ</t>
    </rPh>
    <phoneticPr fontId="3"/>
  </si>
  <si>
    <t>配　電　側　　　主幹開閉器</t>
    <rPh sb="0" eb="3">
      <t>ハイデン</t>
    </rPh>
    <rPh sb="4" eb="5">
      <t>ガワ</t>
    </rPh>
    <rPh sb="8" eb="10">
      <t>シュカン</t>
    </rPh>
    <rPh sb="10" eb="13">
      <t>カイヘイキ</t>
    </rPh>
    <phoneticPr fontId="3"/>
  </si>
  <si>
    <r>
      <t>電源電圧</t>
    </r>
    <r>
      <rPr>
        <b/>
        <sz val="9"/>
        <rFont val="ＭＳ Ｐゴシック"/>
        <family val="3"/>
        <charset val="128"/>
      </rPr>
      <t>Ｅ</t>
    </r>
    <r>
      <rPr>
        <sz val="6"/>
        <rFont val="ＭＳ Ｐゴシック"/>
        <family val="3"/>
        <charset val="128"/>
      </rPr>
      <t>Ｓ</t>
    </r>
    <rPh sb="0" eb="2">
      <t>デンゲン</t>
    </rPh>
    <rPh sb="2" eb="4">
      <t>デンアツ</t>
    </rPh>
    <phoneticPr fontId="3"/>
  </si>
  <si>
    <r>
      <t>ＳＣ</t>
    </r>
    <r>
      <rPr>
        <sz val="6"/>
        <rFont val="ＭＳ Ｐゴシック"/>
        <family val="3"/>
        <charset val="128"/>
      </rPr>
      <t>Ｒ  　　　</t>
    </r>
    <r>
      <rPr>
        <sz val="10"/>
        <rFont val="ＭＳ Ｐ明朝"/>
        <family val="1"/>
        <charset val="128"/>
      </rPr>
      <t>容　量</t>
    </r>
    <rPh sb="8" eb="11">
      <t>ヨウリョウ</t>
    </rPh>
    <phoneticPr fontId="3"/>
  </si>
  <si>
    <t>負　　荷　　設　　備　　容　　量</t>
    <rPh sb="0" eb="4">
      <t>フカ</t>
    </rPh>
    <rPh sb="6" eb="10">
      <t>セツビ</t>
    </rPh>
    <rPh sb="12" eb="16">
      <t>ヨウリョウ</t>
    </rPh>
    <phoneticPr fontId="3"/>
  </si>
  <si>
    <r>
      <t>ＳＣ</t>
    </r>
    <r>
      <rPr>
        <sz val="6"/>
        <rFont val="ＭＳ Ｐゴシック"/>
        <family val="3"/>
        <charset val="128"/>
      </rPr>
      <t>Ｌ　   　</t>
    </r>
    <r>
      <rPr>
        <sz val="10"/>
        <rFont val="ＭＳ Ｐ明朝"/>
        <family val="1"/>
        <charset val="128"/>
      </rPr>
      <t>容　量</t>
    </r>
    <rPh sb="8" eb="11">
      <t>ヨウリョウ</t>
    </rPh>
    <phoneticPr fontId="3"/>
  </si>
  <si>
    <t>名　　　称</t>
    <rPh sb="0" eb="5">
      <t>メイショウ</t>
    </rPh>
    <phoneticPr fontId="3"/>
  </si>
  <si>
    <t>布設方法</t>
    <rPh sb="0" eb="2">
      <t>フセツ</t>
    </rPh>
    <rPh sb="2" eb="4">
      <t>ホウホウ</t>
    </rPh>
    <phoneticPr fontId="3"/>
  </si>
  <si>
    <r>
      <t>電圧</t>
    </r>
    <r>
      <rPr>
        <sz val="6"/>
        <rFont val="ＭＳ Ｐ明朝"/>
        <family val="1"/>
        <charset val="128"/>
      </rPr>
      <t xml:space="preserve"> </t>
    </r>
    <r>
      <rPr>
        <sz val="6"/>
        <rFont val="ＭＳ Ｐゴシック"/>
        <family val="3"/>
        <charset val="128"/>
      </rPr>
      <t xml:space="preserve"> </t>
    </r>
    <r>
      <rPr>
        <b/>
        <sz val="10"/>
        <rFont val="ＭＳ Ｐゴシック"/>
        <family val="3"/>
        <charset val="128"/>
      </rPr>
      <t>Ｅ</t>
    </r>
    <r>
      <rPr>
        <sz val="6"/>
        <rFont val="ＭＳ Ｐゴシック"/>
        <family val="3"/>
        <charset val="128"/>
      </rPr>
      <t>Ｒ　</t>
    </r>
    <r>
      <rPr>
        <sz val="10"/>
        <rFont val="ＭＳ Ｐ明朝"/>
        <family val="1"/>
        <charset val="128"/>
      </rPr>
      <t>[V]</t>
    </r>
    <rPh sb="0" eb="2">
      <t>デンアツ</t>
    </rPh>
    <phoneticPr fontId="3"/>
  </si>
  <si>
    <r>
      <t>電圧</t>
    </r>
    <r>
      <rPr>
        <sz val="10"/>
        <rFont val="ＭＳ Ｐ明朝"/>
        <family val="1"/>
        <charset val="128"/>
      </rPr>
      <t xml:space="preserve"> </t>
    </r>
    <r>
      <rPr>
        <sz val="10"/>
        <rFont val="ＭＳ Ｐゴシック"/>
        <family val="3"/>
        <charset val="128"/>
      </rPr>
      <t xml:space="preserve"> </t>
    </r>
    <r>
      <rPr>
        <b/>
        <sz val="10"/>
        <rFont val="ＭＳ Ｐゴシック"/>
        <family val="3"/>
        <charset val="128"/>
      </rPr>
      <t>Ｅ</t>
    </r>
    <r>
      <rPr>
        <sz val="6"/>
        <rFont val="ＭＳ Ｐゴシック"/>
        <family val="3"/>
        <charset val="128"/>
      </rPr>
      <t>Ｌ</t>
    </r>
    <r>
      <rPr>
        <sz val="10"/>
        <rFont val="ＭＳ Ｐ明朝"/>
        <family val="1"/>
        <charset val="128"/>
      </rPr>
      <t>[V]</t>
    </r>
    <rPh sb="0" eb="2">
      <t>デンアツ</t>
    </rPh>
    <phoneticPr fontId="3"/>
  </si>
  <si>
    <r>
      <t xml:space="preserve">電流 </t>
    </r>
    <r>
      <rPr>
        <b/>
        <sz val="10"/>
        <rFont val="ＭＳ Ｐゴシック"/>
        <family val="3"/>
        <charset val="128"/>
      </rPr>
      <t>Ｉ</t>
    </r>
    <r>
      <rPr>
        <sz val="6"/>
        <rFont val="ＭＳ Ｐゴシック"/>
        <family val="3"/>
        <charset val="128"/>
      </rPr>
      <t>Ｌ</t>
    </r>
    <r>
      <rPr>
        <sz val="10"/>
        <rFont val="ＭＳ Ｐ明朝"/>
        <family val="1"/>
        <charset val="128"/>
      </rPr>
      <t xml:space="preserve">[A] </t>
    </r>
    <rPh sb="0" eb="2">
      <t>デンアツ</t>
    </rPh>
    <phoneticPr fontId="3"/>
  </si>
  <si>
    <t>負荷種別</t>
    <rPh sb="0" eb="2">
      <t>フカ</t>
    </rPh>
    <rPh sb="2" eb="4">
      <t>シュベツ</t>
    </rPh>
    <phoneticPr fontId="3"/>
  </si>
  <si>
    <t>形　式</t>
    <rPh sb="0" eb="3">
      <t>ケイシキ</t>
    </rPh>
    <phoneticPr fontId="3"/>
  </si>
  <si>
    <t>台　数</t>
    <rPh sb="0" eb="3">
      <t>ダイスウ</t>
    </rPh>
    <phoneticPr fontId="3"/>
  </si>
  <si>
    <t>効 率</t>
    <rPh sb="0" eb="3">
      <t>コウリツ</t>
    </rPh>
    <phoneticPr fontId="3"/>
  </si>
  <si>
    <t>力 率</t>
    <rPh sb="0" eb="1">
      <t>リキ</t>
    </rPh>
    <rPh sb="2" eb="3">
      <t>リツ</t>
    </rPh>
    <phoneticPr fontId="3"/>
  </si>
  <si>
    <t>入力</t>
    <rPh sb="0" eb="2">
      <t>ニュウリョク</t>
    </rPh>
    <phoneticPr fontId="3"/>
  </si>
  <si>
    <t>負 荷　　電 流</t>
    <rPh sb="0" eb="3">
      <t>フカ</t>
    </rPh>
    <rPh sb="5" eb="8">
      <t>デンリュウ</t>
    </rPh>
    <phoneticPr fontId="3"/>
  </si>
  <si>
    <t>公 称　　断 面</t>
    <rPh sb="0" eb="3">
      <t>コウショウ</t>
    </rPh>
    <rPh sb="5" eb="8">
      <t>ダンメン</t>
    </rPh>
    <phoneticPr fontId="3"/>
  </si>
  <si>
    <t>条数</t>
    <rPh sb="0" eb="1">
      <t>ジョウ</t>
    </rPh>
    <rPh sb="1" eb="2">
      <t>スウ</t>
    </rPh>
    <phoneticPr fontId="3"/>
  </si>
  <si>
    <t>許容電流　　[A]</t>
    <rPh sb="0" eb="2">
      <t>キョヨウ</t>
    </rPh>
    <rPh sb="2" eb="4">
      <t>デンリュウ</t>
    </rPh>
    <phoneticPr fontId="3"/>
  </si>
  <si>
    <r>
      <t>全負荷電流</t>
    </r>
    <r>
      <rPr>
        <sz val="10"/>
        <rFont val="ＭＳ Ｐ明朝"/>
        <family val="1"/>
        <charset val="128"/>
      </rPr>
      <t>[A]</t>
    </r>
    <rPh sb="0" eb="1">
      <t>ゼン</t>
    </rPh>
    <rPh sb="1" eb="3">
      <t>フカ</t>
    </rPh>
    <rPh sb="3" eb="5">
      <t>デンアツ</t>
    </rPh>
    <phoneticPr fontId="3"/>
  </si>
  <si>
    <r>
      <t xml:space="preserve">電流 </t>
    </r>
    <r>
      <rPr>
        <b/>
        <sz val="10"/>
        <rFont val="ＭＳ Ｐゴシック"/>
        <family val="3"/>
        <charset val="128"/>
      </rPr>
      <t>Ｉ</t>
    </r>
    <r>
      <rPr>
        <sz val="6"/>
        <rFont val="ＭＳ Ｐゴシック"/>
        <family val="3"/>
        <charset val="128"/>
      </rPr>
      <t>Ｃ</t>
    </r>
    <r>
      <rPr>
        <sz val="10"/>
        <rFont val="ＭＳ Ｐ明朝"/>
        <family val="1"/>
        <charset val="128"/>
      </rPr>
      <t>[A]　　　　累計</t>
    </r>
    <rPh sb="0" eb="2">
      <t>デンアツ</t>
    </rPh>
    <rPh sb="12" eb="14">
      <t>ルイケイ</t>
    </rPh>
    <phoneticPr fontId="3"/>
  </si>
  <si>
    <r>
      <t>周波数</t>
    </r>
    <r>
      <rPr>
        <sz val="10"/>
        <rFont val="ＭＳ Ｐ明朝"/>
        <family val="1"/>
        <charset val="128"/>
      </rPr>
      <t xml:space="preserve"> [Hz]</t>
    </r>
    <rPh sb="0" eb="3">
      <t>シュウハスウ</t>
    </rPh>
    <phoneticPr fontId="3"/>
  </si>
  <si>
    <t>出力</t>
    <rPh sb="0" eb="2">
      <t>シュツリョク</t>
    </rPh>
    <phoneticPr fontId="3"/>
  </si>
  <si>
    <t>需要率</t>
    <rPh sb="0" eb="2">
      <t>ジュヨウ</t>
    </rPh>
    <rPh sb="2" eb="3">
      <t>リツ</t>
    </rPh>
    <phoneticPr fontId="3"/>
  </si>
  <si>
    <r>
      <t>変圧器電流</t>
    </r>
    <r>
      <rPr>
        <sz val="10"/>
        <rFont val="ＭＳ Ｐ明朝"/>
        <family val="1"/>
        <charset val="128"/>
      </rPr>
      <t>[A]</t>
    </r>
    <rPh sb="0" eb="3">
      <t>ヘンアツキ</t>
    </rPh>
    <rPh sb="3" eb="5">
      <t>デンアツ</t>
    </rPh>
    <phoneticPr fontId="3"/>
  </si>
  <si>
    <t>名　　称</t>
    <rPh sb="0" eb="4">
      <t>メイショウ</t>
    </rPh>
    <phoneticPr fontId="3"/>
  </si>
  <si>
    <t>計 算 温 度</t>
    <rPh sb="0" eb="3">
      <t>ケイサン</t>
    </rPh>
    <rPh sb="4" eb="7">
      <t>オンド</t>
    </rPh>
    <phoneticPr fontId="3"/>
  </si>
  <si>
    <t>容 量  /</t>
    <rPh sb="0" eb="3">
      <t>ヨウリョウ</t>
    </rPh>
    <phoneticPr fontId="3"/>
  </si>
  <si>
    <t>定格電流</t>
    <rPh sb="0" eb="2">
      <t>テイカク</t>
    </rPh>
    <rPh sb="2" eb="4">
      <t>デンリュウ</t>
    </rPh>
    <phoneticPr fontId="3"/>
  </si>
  <si>
    <t>平均力率</t>
    <rPh sb="0" eb="2">
      <t>ヘイキン</t>
    </rPh>
    <rPh sb="2" eb="3">
      <t>リキ</t>
    </rPh>
    <rPh sb="3" eb="4">
      <t>リツ</t>
    </rPh>
    <phoneticPr fontId="3"/>
  </si>
  <si>
    <r>
      <t>Ｚ</t>
    </r>
    <r>
      <rPr>
        <sz val="6"/>
        <rFont val="ＭＳ Ｐ明朝"/>
        <family val="1"/>
        <charset val="128"/>
      </rPr>
      <t xml:space="preserve"> </t>
    </r>
    <r>
      <rPr>
        <sz val="6"/>
        <rFont val="ＭＳ Ｐゴシック"/>
        <family val="3"/>
        <charset val="128"/>
      </rPr>
      <t>Ｃ１</t>
    </r>
    <r>
      <rPr>
        <sz val="10"/>
        <rFont val="ＭＳ Ｐ明朝"/>
        <family val="1"/>
        <charset val="128"/>
      </rPr>
      <t xml:space="preserve"> (</t>
    </r>
    <r>
      <rPr>
        <sz val="10"/>
        <rFont val="ＭＳ Ｐゴシック"/>
        <family val="3"/>
        <charset val="128"/>
      </rPr>
      <t>低圧幹線</t>
    </r>
    <r>
      <rPr>
        <sz val="10"/>
        <rFont val="ＭＳ Ｐ明朝"/>
        <family val="1"/>
        <charset val="128"/>
      </rPr>
      <t>)</t>
    </r>
    <rPh sb="6" eb="8">
      <t>テイアツ</t>
    </rPh>
    <rPh sb="8" eb="10">
      <t>カンセン</t>
    </rPh>
    <phoneticPr fontId="3"/>
  </si>
  <si>
    <r>
      <t>Ｚ</t>
    </r>
    <r>
      <rPr>
        <sz val="6"/>
        <rFont val="ＭＳ Ｐゴシック"/>
        <family val="3"/>
        <charset val="128"/>
      </rPr>
      <t xml:space="preserve"> Ｃ２</t>
    </r>
    <r>
      <rPr>
        <sz val="10"/>
        <rFont val="ＭＳ Ｐゴシック"/>
        <family val="3"/>
        <charset val="128"/>
      </rPr>
      <t xml:space="preserve"> (低圧分岐幹線)</t>
    </r>
    <rPh sb="6" eb="12">
      <t>センテイ</t>
    </rPh>
    <phoneticPr fontId="3"/>
  </si>
  <si>
    <r>
      <t>分岐部電圧</t>
    </r>
    <r>
      <rPr>
        <sz val="10"/>
        <rFont val="ＭＳ Ｐ明朝"/>
        <family val="1"/>
        <charset val="128"/>
      </rPr>
      <t>[V]</t>
    </r>
    <rPh sb="0" eb="2">
      <t>ブンキ</t>
    </rPh>
    <rPh sb="2" eb="3">
      <t>ブ</t>
    </rPh>
    <rPh sb="3" eb="5">
      <t>デンアツ</t>
    </rPh>
    <phoneticPr fontId="3"/>
  </si>
  <si>
    <r>
      <t xml:space="preserve">ご注意 </t>
    </r>
    <r>
      <rPr>
        <sz val="14"/>
        <color indexed="10"/>
        <rFont val="ＭＳ Ｐゴシック"/>
        <family val="3"/>
        <charset val="128"/>
      </rPr>
      <t>⇒</t>
    </r>
    <rPh sb="1" eb="3">
      <t>チュウイ</t>
    </rPh>
    <phoneticPr fontId="3"/>
  </si>
  <si>
    <t>変圧器</t>
    <rPh sb="0" eb="3">
      <t>ヘンアツキ</t>
    </rPh>
    <phoneticPr fontId="3"/>
  </si>
  <si>
    <r>
      <t>1φ油入</t>
    </r>
    <r>
      <rPr>
        <sz val="11"/>
        <color indexed="10"/>
        <rFont val="ＭＳ Ｐゴシック"/>
        <family val="3"/>
        <charset val="128"/>
      </rPr>
      <t>[50Hz]</t>
    </r>
    <rPh sb="2" eb="3">
      <t>アブラ</t>
    </rPh>
    <rPh sb="3" eb="4">
      <t>イ</t>
    </rPh>
    <phoneticPr fontId="3"/>
  </si>
  <si>
    <t>　　　⇒</t>
    <phoneticPr fontId="3"/>
  </si>
  <si>
    <r>
      <t>1φモ－ルド</t>
    </r>
    <r>
      <rPr>
        <sz val="11"/>
        <color indexed="10"/>
        <rFont val="ＭＳ Ｐゴシック"/>
        <family val="3"/>
        <charset val="128"/>
      </rPr>
      <t>[50Hz]</t>
    </r>
    <phoneticPr fontId="3"/>
  </si>
  <si>
    <r>
      <t>1φ油入</t>
    </r>
    <r>
      <rPr>
        <sz val="11"/>
        <color indexed="10"/>
        <rFont val="ＭＳ Ｐゴシック"/>
        <family val="3"/>
        <charset val="128"/>
      </rPr>
      <t>[60Hz]</t>
    </r>
    <rPh sb="2" eb="3">
      <t>アブラ</t>
    </rPh>
    <rPh sb="3" eb="4">
      <t>イ</t>
    </rPh>
    <phoneticPr fontId="3"/>
  </si>
  <si>
    <r>
      <t>1φモ－ルド</t>
    </r>
    <r>
      <rPr>
        <sz val="11"/>
        <color indexed="10"/>
        <rFont val="ＭＳ Ｐゴシック"/>
        <family val="3"/>
        <charset val="128"/>
      </rPr>
      <t>[60Hz]</t>
    </r>
    <phoneticPr fontId="3"/>
  </si>
  <si>
    <t>ＩＶ（電線管）</t>
    <rPh sb="3" eb="5">
      <t>デンセン</t>
    </rPh>
    <rPh sb="5" eb="6">
      <t>カン</t>
    </rPh>
    <phoneticPr fontId="3"/>
  </si>
  <si>
    <t>600V CV-T</t>
    <phoneticPr fontId="3"/>
  </si>
  <si>
    <t>容 量</t>
    <rPh sb="0" eb="3">
      <t>ヨウリョウ</t>
    </rPh>
    <phoneticPr fontId="3"/>
  </si>
  <si>
    <t>％ Ｒ</t>
    <phoneticPr fontId="3"/>
  </si>
  <si>
    <t>％ Ｘ</t>
    <phoneticPr fontId="3"/>
  </si>
  <si>
    <t>％ Ｚ</t>
    <phoneticPr fontId="3"/>
  </si>
  <si>
    <t>公称</t>
    <rPh sb="0" eb="2">
      <t>コウショウ</t>
    </rPh>
    <phoneticPr fontId="3"/>
  </si>
  <si>
    <t>交流導体</t>
    <rPh sb="0" eb="2">
      <t>コウリュウ</t>
    </rPh>
    <rPh sb="2" eb="4">
      <t>ドウタイ</t>
    </rPh>
    <phoneticPr fontId="3"/>
  </si>
  <si>
    <t>ﾘｱｸﾀﾝｽ</t>
    <phoneticPr fontId="3"/>
  </si>
  <si>
    <t>断面</t>
    <rPh sb="0" eb="2">
      <t>ダンメン</t>
    </rPh>
    <phoneticPr fontId="3"/>
  </si>
  <si>
    <t>抵抗(60℃)</t>
    <rPh sb="0" eb="2">
      <t>テイコウ</t>
    </rPh>
    <phoneticPr fontId="3"/>
  </si>
  <si>
    <t>(５０Hz)</t>
    <phoneticPr fontId="3"/>
  </si>
  <si>
    <t>抵抗(90℃)</t>
    <rPh sb="0" eb="2">
      <t>テイコウ</t>
    </rPh>
    <phoneticPr fontId="3"/>
  </si>
  <si>
    <t>[Ω/Km]</t>
    <phoneticPr fontId="3"/>
  </si>
  <si>
    <r>
      <t>3φ油入</t>
    </r>
    <r>
      <rPr>
        <sz val="11"/>
        <color indexed="10"/>
        <rFont val="ＭＳ Ｐゴシック"/>
        <family val="3"/>
        <charset val="128"/>
      </rPr>
      <t>[50Hz]</t>
    </r>
    <rPh sb="2" eb="3">
      <t>アブラ</t>
    </rPh>
    <rPh sb="3" eb="4">
      <t>イ</t>
    </rPh>
    <phoneticPr fontId="3"/>
  </si>
  <si>
    <r>
      <t>3φモ－ルド</t>
    </r>
    <r>
      <rPr>
        <sz val="11"/>
        <color indexed="10"/>
        <rFont val="ＭＳ Ｐゴシック"/>
        <family val="3"/>
        <charset val="128"/>
      </rPr>
      <t>[50Hz]</t>
    </r>
    <phoneticPr fontId="3"/>
  </si>
  <si>
    <r>
      <t>3φ油入</t>
    </r>
    <r>
      <rPr>
        <sz val="11"/>
        <color indexed="10"/>
        <rFont val="ＭＳ Ｐゴシック"/>
        <family val="3"/>
        <charset val="128"/>
      </rPr>
      <t>[60Hz]</t>
    </r>
    <rPh sb="2" eb="3">
      <t>アブラ</t>
    </rPh>
    <rPh sb="3" eb="4">
      <t>イ</t>
    </rPh>
    <phoneticPr fontId="3"/>
  </si>
  <si>
    <r>
      <t>3φモ－ルド</t>
    </r>
    <r>
      <rPr>
        <sz val="11"/>
        <color indexed="10"/>
        <rFont val="ＭＳ Ｐゴシック"/>
        <family val="3"/>
        <charset val="128"/>
      </rPr>
      <t>[60Hz]</t>
    </r>
    <phoneticPr fontId="3"/>
  </si>
  <si>
    <t>600V CV-2C/3C</t>
    <phoneticPr fontId="3"/>
  </si>
  <si>
    <t>　　　⇒</t>
    <phoneticPr fontId="3"/>
  </si>
  <si>
    <t>ＵＳＥＲ</t>
    <phoneticPr fontId="3"/>
  </si>
  <si>
    <t>ﾘｱｸﾀﾝｽ</t>
    <phoneticPr fontId="3"/>
  </si>
  <si>
    <t>(５０Hz)</t>
    <phoneticPr fontId="3"/>
  </si>
  <si>
    <t>[Ω/Km]</t>
    <phoneticPr fontId="3"/>
  </si>
  <si>
    <t>3φＵＳＥＲ[50Hz]</t>
    <phoneticPr fontId="3"/>
  </si>
  <si>
    <t>発電機</t>
    <rPh sb="0" eb="3">
      <t>ハツデンキ</t>
    </rPh>
    <phoneticPr fontId="3"/>
  </si>
  <si>
    <t>％ Ｒ</t>
    <phoneticPr fontId="3"/>
  </si>
  <si>
    <t>％ Ｘ</t>
    <phoneticPr fontId="3"/>
  </si>
  <si>
    <t>％ Ｚ</t>
    <phoneticPr fontId="3"/>
  </si>
  <si>
    <r>
      <rPr>
        <sz val="11"/>
        <color theme="8" tint="0.79998168889431442"/>
        <rFont val="メイリオ"/>
        <family val="3"/>
        <charset val="128"/>
      </rPr>
      <t>■</t>
    </r>
    <r>
      <rPr>
        <sz val="9"/>
        <color theme="0"/>
        <rFont val="メイリオ"/>
        <family val="3"/>
        <charset val="128"/>
      </rPr>
      <t>:入力項目</t>
    </r>
    <rPh sb="2" eb="4">
      <t>ニュウリョク</t>
    </rPh>
    <rPh sb="4" eb="6">
      <t>コウモク</t>
    </rPh>
    <phoneticPr fontId="3"/>
  </si>
  <si>
    <r>
      <rPr>
        <sz val="11"/>
        <color theme="9" tint="0.79998168889431442"/>
        <rFont val="メイリオ"/>
        <family val="3"/>
        <charset val="128"/>
      </rPr>
      <t>■</t>
    </r>
    <r>
      <rPr>
        <sz val="9"/>
        <color theme="0"/>
        <rFont val="メイリオ"/>
        <family val="3"/>
        <charset val="128"/>
      </rPr>
      <t>:入力項目</t>
    </r>
    <rPh sb="2" eb="4">
      <t>ニュウリョク</t>
    </rPh>
    <rPh sb="4" eb="6">
      <t>コウモク</t>
    </rPh>
    <phoneticPr fontId="3"/>
  </si>
  <si>
    <t>一次側配線 No.</t>
    <rPh sb="0" eb="2">
      <t>イチジ</t>
    </rPh>
    <rPh sb="2" eb="3">
      <t>ガワ</t>
    </rPh>
    <rPh sb="3" eb="5">
      <t>ハイセン</t>
    </rPh>
    <phoneticPr fontId="126"/>
  </si>
  <si>
    <r>
      <t xml:space="preserve">全負荷   </t>
    </r>
    <r>
      <rPr>
        <b/>
        <sz val="9"/>
        <rFont val="ＭＳ Ｐ明朝"/>
        <family val="1"/>
        <charset val="128"/>
      </rPr>
      <t>[KW]</t>
    </r>
    <rPh sb="0" eb="1">
      <t>ゼン</t>
    </rPh>
    <rPh sb="1" eb="3">
      <t>フカ</t>
    </rPh>
    <phoneticPr fontId="126"/>
  </si>
  <si>
    <t>進相コンデンサなし</t>
    <rPh sb="0" eb="1">
      <t>ススム</t>
    </rPh>
    <rPh sb="1" eb="2">
      <t>ソウ</t>
    </rPh>
    <phoneticPr fontId="126"/>
  </si>
  <si>
    <t>進相コンデンサ設置</t>
    <rPh sb="7" eb="9">
      <t>セッチ</t>
    </rPh>
    <phoneticPr fontId="126"/>
  </si>
  <si>
    <t xml:space="preserve"> 物件名称</t>
    <rPh sb="1" eb="3">
      <t>ブッケン</t>
    </rPh>
    <rPh sb="3" eb="5">
      <t>メイショウ</t>
    </rPh>
    <phoneticPr fontId="126"/>
  </si>
  <si>
    <t xml:space="preserve">変電設備 名称 </t>
    <rPh sb="0" eb="2">
      <t>ヘンデン</t>
    </rPh>
    <rPh sb="2" eb="4">
      <t>セツビ</t>
    </rPh>
    <rPh sb="5" eb="7">
      <t>メイショウ</t>
    </rPh>
    <phoneticPr fontId="126"/>
  </si>
  <si>
    <t>1次電圧</t>
    <rPh sb="1" eb="2">
      <t>ジ</t>
    </rPh>
    <rPh sb="2" eb="4">
      <t>デンアツ</t>
    </rPh>
    <phoneticPr fontId="126"/>
  </si>
  <si>
    <r>
      <t xml:space="preserve">全負荷 </t>
    </r>
    <r>
      <rPr>
        <b/>
        <sz val="9"/>
        <rFont val="ＭＳ Ｐ明朝"/>
        <family val="1"/>
        <charset val="128"/>
      </rPr>
      <t>[KVar]</t>
    </r>
    <phoneticPr fontId="126"/>
  </si>
  <si>
    <t>変圧器負荷率　[％]</t>
    <rPh sb="0" eb="3">
      <t>ヘンアツキ</t>
    </rPh>
    <rPh sb="3" eb="5">
      <t>フカ</t>
    </rPh>
    <rPh sb="5" eb="6">
      <t>リツ</t>
    </rPh>
    <phoneticPr fontId="126"/>
  </si>
  <si>
    <t>＊＊＊＊＊＊＊＊</t>
    <phoneticPr fontId="126"/>
  </si>
  <si>
    <t>二次側母線 No.</t>
    <rPh sb="0" eb="3">
      <t>ニジガワ</t>
    </rPh>
    <rPh sb="3" eb="5">
      <t>ボセン</t>
    </rPh>
    <phoneticPr fontId="126"/>
  </si>
  <si>
    <t>2次電圧</t>
    <rPh sb="1" eb="2">
      <t>ジ</t>
    </rPh>
    <rPh sb="2" eb="4">
      <t>デンアツ</t>
    </rPh>
    <phoneticPr fontId="126"/>
  </si>
  <si>
    <r>
      <t xml:space="preserve">全負荷 </t>
    </r>
    <r>
      <rPr>
        <b/>
        <sz val="6"/>
        <rFont val="ＭＳ Ｐ明朝"/>
        <family val="1"/>
        <charset val="128"/>
      </rPr>
      <t xml:space="preserve"> </t>
    </r>
    <r>
      <rPr>
        <b/>
        <sz val="9"/>
        <rFont val="ＭＳ Ｐ明朝"/>
        <family val="1"/>
        <charset val="128"/>
      </rPr>
      <t>[KVA]</t>
    </r>
    <phoneticPr fontId="126"/>
  </si>
  <si>
    <t>需要有効電力　[KW]</t>
    <rPh sb="0" eb="2">
      <t>ジュヨウ</t>
    </rPh>
    <rPh sb="2" eb="4">
      <t>ユウコウ</t>
    </rPh>
    <rPh sb="4" eb="6">
      <t>デンリョク</t>
    </rPh>
    <phoneticPr fontId="126"/>
  </si>
  <si>
    <t>　進相コンデンサ</t>
    <phoneticPr fontId="126"/>
  </si>
  <si>
    <t>新設</t>
    <rPh sb="0" eb="2">
      <t>シンセツ</t>
    </rPh>
    <phoneticPr fontId="126"/>
  </si>
  <si>
    <t>TR-4</t>
    <phoneticPr fontId="126"/>
  </si>
  <si>
    <t>設置場所</t>
    <rPh sb="0" eb="2">
      <t>セッチ</t>
    </rPh>
    <rPh sb="2" eb="4">
      <t>バショ</t>
    </rPh>
    <phoneticPr fontId="126"/>
  </si>
  <si>
    <t>需要無効電力[KVar]</t>
    <rPh sb="0" eb="2">
      <t>ジュヨウ</t>
    </rPh>
    <rPh sb="2" eb="4">
      <t>ムコウ</t>
    </rPh>
    <rPh sb="4" eb="6">
      <t>デンリョク</t>
    </rPh>
    <phoneticPr fontId="126"/>
  </si>
  <si>
    <r>
      <t xml:space="preserve">  </t>
    </r>
    <r>
      <rPr>
        <b/>
        <sz val="11"/>
        <color indexed="12"/>
        <rFont val="ＭＳ Ｐ明朝"/>
        <family val="1"/>
        <charset val="128"/>
      </rPr>
      <t>電気機器負荷表</t>
    </r>
    <rPh sb="2" eb="4">
      <t>デンキ</t>
    </rPh>
    <rPh sb="4" eb="6">
      <t>キキ</t>
    </rPh>
    <rPh sb="6" eb="7">
      <t>フ</t>
    </rPh>
    <rPh sb="7" eb="8">
      <t>ニ</t>
    </rPh>
    <rPh sb="8" eb="9">
      <t>ヒョウ</t>
    </rPh>
    <phoneticPr fontId="126"/>
  </si>
  <si>
    <t>変圧器番号</t>
    <rPh sb="0" eb="3">
      <t>ヘンアツキ</t>
    </rPh>
    <rPh sb="3" eb="5">
      <t>バンゴウ</t>
    </rPh>
    <phoneticPr fontId="126"/>
  </si>
  <si>
    <t xml:space="preserve"> 変圧器型式</t>
    <rPh sb="1" eb="4">
      <t>ヘンアツキ</t>
    </rPh>
    <rPh sb="4" eb="6">
      <t>カタシキ</t>
    </rPh>
    <phoneticPr fontId="126"/>
  </si>
  <si>
    <t>需要皮相電力[KVA]</t>
    <rPh sb="0" eb="2">
      <t>ジュヨウ</t>
    </rPh>
    <rPh sb="2" eb="3">
      <t>カワ</t>
    </rPh>
    <rPh sb="3" eb="4">
      <t>ソウ</t>
    </rPh>
    <rPh sb="4" eb="6">
      <t>デンリョク</t>
    </rPh>
    <phoneticPr fontId="126"/>
  </si>
  <si>
    <t xml:space="preserve">  直列リアクトル</t>
    <rPh sb="2" eb="4">
      <t>チョクレツ</t>
    </rPh>
    <phoneticPr fontId="126"/>
  </si>
  <si>
    <t>＊＊＊＊＊＊株式会社</t>
    <rPh sb="6" eb="10">
      <t>カブシキガイシャ</t>
    </rPh>
    <phoneticPr fontId="126"/>
  </si>
  <si>
    <t>平均負荷力率</t>
    <rPh sb="0" eb="2">
      <t>ヘイキン</t>
    </rPh>
    <rPh sb="2" eb="4">
      <t>フカ</t>
    </rPh>
    <rPh sb="4" eb="5">
      <t>リキ</t>
    </rPh>
    <rPh sb="5" eb="6">
      <t>リツ</t>
    </rPh>
    <phoneticPr fontId="126"/>
  </si>
  <si>
    <t>Electro Systems Engineering Service</t>
    <phoneticPr fontId="126"/>
  </si>
  <si>
    <t>幹 線</t>
    <rPh sb="0" eb="1">
      <t>ミキ</t>
    </rPh>
    <rPh sb="2" eb="3">
      <t>セン</t>
    </rPh>
    <phoneticPr fontId="126"/>
  </si>
  <si>
    <t>盤 名 称</t>
    <phoneticPr fontId="126"/>
  </si>
  <si>
    <t>負荷記号</t>
    <rPh sb="0" eb="2">
      <t>フカ</t>
    </rPh>
    <rPh sb="2" eb="4">
      <t>キゴウ</t>
    </rPh>
    <phoneticPr fontId="126"/>
  </si>
  <si>
    <t>負　荷　名　称</t>
    <rPh sb="0" eb="1">
      <t>フ</t>
    </rPh>
    <rPh sb="2" eb="3">
      <t>ニ</t>
    </rPh>
    <rPh sb="4" eb="5">
      <t>ナ</t>
    </rPh>
    <rPh sb="6" eb="7">
      <t>ショウ</t>
    </rPh>
    <phoneticPr fontId="126"/>
  </si>
  <si>
    <t>負荷の</t>
    <rPh sb="0" eb="2">
      <t>フカ</t>
    </rPh>
    <phoneticPr fontId="126"/>
  </si>
  <si>
    <t>定格出力</t>
    <rPh sb="0" eb="2">
      <t>テイカク</t>
    </rPh>
    <rPh sb="2" eb="4">
      <t>シュツリョク</t>
    </rPh>
    <phoneticPr fontId="126"/>
  </si>
  <si>
    <t>台数</t>
    <rPh sb="0" eb="2">
      <t>ダイスウ</t>
    </rPh>
    <phoneticPr fontId="126"/>
  </si>
  <si>
    <r>
      <t>自動計算</t>
    </r>
    <r>
      <rPr>
        <sz val="9"/>
        <rFont val="ＭＳ Ｐ明朝"/>
        <family val="1"/>
        <charset val="128"/>
      </rPr>
      <t>(％)</t>
    </r>
    <rPh sb="0" eb="2">
      <t>ジドウ</t>
    </rPh>
    <rPh sb="2" eb="4">
      <t>ケイサン</t>
    </rPh>
    <phoneticPr fontId="126"/>
  </si>
  <si>
    <r>
      <t>任意入力</t>
    </r>
    <r>
      <rPr>
        <sz val="9"/>
        <rFont val="ＭＳ Ｐ明朝"/>
        <family val="1"/>
        <charset val="128"/>
      </rPr>
      <t>(％)</t>
    </r>
    <rPh sb="0" eb="2">
      <t>ニンイ</t>
    </rPh>
    <rPh sb="2" eb="4">
      <t>ニュウリョク</t>
    </rPh>
    <phoneticPr fontId="126"/>
  </si>
  <si>
    <t>実負荷</t>
    <rPh sb="0" eb="1">
      <t>ジツ</t>
    </rPh>
    <rPh sb="1" eb="3">
      <t>フカ</t>
    </rPh>
    <phoneticPr fontId="126"/>
  </si>
  <si>
    <t>入 力</t>
    <rPh sb="0" eb="1">
      <t>イ</t>
    </rPh>
    <rPh sb="2" eb="3">
      <t>チカラ</t>
    </rPh>
    <phoneticPr fontId="126"/>
  </si>
  <si>
    <t>負 荷</t>
    <rPh sb="0" eb="1">
      <t>フ</t>
    </rPh>
    <rPh sb="2" eb="3">
      <t>ニ</t>
    </rPh>
    <phoneticPr fontId="126"/>
  </si>
  <si>
    <t>需要率</t>
    <rPh sb="0" eb="2">
      <t>ジュヨウ</t>
    </rPh>
    <rPh sb="2" eb="3">
      <t>リツ</t>
    </rPh>
    <phoneticPr fontId="126"/>
  </si>
  <si>
    <t>需 要</t>
    <rPh sb="0" eb="1">
      <t>ジュ</t>
    </rPh>
    <rPh sb="2" eb="3">
      <t>ヨウ</t>
    </rPh>
    <phoneticPr fontId="126"/>
  </si>
  <si>
    <t>備　　　考</t>
    <rPh sb="0" eb="1">
      <t>ビ</t>
    </rPh>
    <rPh sb="4" eb="5">
      <t>コウ</t>
    </rPh>
    <phoneticPr fontId="126"/>
  </si>
  <si>
    <t>番 号</t>
    <rPh sb="0" eb="1">
      <t>バン</t>
    </rPh>
    <rPh sb="2" eb="3">
      <t>ゴウ</t>
    </rPh>
    <phoneticPr fontId="126"/>
  </si>
  <si>
    <t>種　類</t>
    <rPh sb="0" eb="1">
      <t>タネ</t>
    </rPh>
    <rPh sb="2" eb="3">
      <t>タグイ</t>
    </rPh>
    <phoneticPr fontId="126"/>
  </si>
  <si>
    <t>　　　[KW]</t>
    <phoneticPr fontId="126"/>
  </si>
  <si>
    <t>効 率</t>
    <rPh sb="0" eb="1">
      <t>コウ</t>
    </rPh>
    <rPh sb="2" eb="3">
      <t>リツ</t>
    </rPh>
    <phoneticPr fontId="126"/>
  </si>
  <si>
    <t>力 率</t>
    <rPh sb="0" eb="1">
      <t>リキ</t>
    </rPh>
    <rPh sb="2" eb="3">
      <t>リツ</t>
    </rPh>
    <phoneticPr fontId="126"/>
  </si>
  <si>
    <t>負荷率</t>
    <rPh sb="0" eb="2">
      <t>フカ</t>
    </rPh>
    <rPh sb="2" eb="3">
      <t>リツ</t>
    </rPh>
    <phoneticPr fontId="126"/>
  </si>
  <si>
    <t>[KW]</t>
    <phoneticPr fontId="126"/>
  </si>
  <si>
    <t>[KVA]</t>
    <phoneticPr fontId="126"/>
  </si>
  <si>
    <t>[KW]</t>
    <phoneticPr fontId="126"/>
  </si>
  <si>
    <t>[KVar]</t>
    <phoneticPr fontId="126"/>
  </si>
  <si>
    <t>[KVA]</t>
    <phoneticPr fontId="126"/>
  </si>
  <si>
    <t>IM-4P</t>
  </si>
  <si>
    <t>幹線：1P1</t>
    <rPh sb="0" eb="2">
      <t>カンセン</t>
    </rPh>
    <phoneticPr fontId="126"/>
  </si>
  <si>
    <t>幹線：1P2</t>
    <rPh sb="0" eb="2">
      <t>カンセン</t>
    </rPh>
    <phoneticPr fontId="126"/>
  </si>
  <si>
    <r>
      <t>注-1) 誘導電動機の平均負荷率は、必要軸馬力[KW]×(１+</t>
    </r>
    <r>
      <rPr>
        <sz val="3"/>
        <rFont val="ＭＳ 明朝"/>
        <family val="1"/>
        <charset val="128"/>
      </rPr>
      <t xml:space="preserve"> </t>
    </r>
    <r>
      <rPr>
        <sz val="10"/>
        <rFont val="ＭＳ 明朝"/>
        <family val="1"/>
        <charset val="128"/>
      </rPr>
      <t>余裕度[%]</t>
    </r>
    <r>
      <rPr>
        <sz val="4"/>
        <rFont val="ＭＳ 明朝"/>
        <family val="1"/>
        <charset val="128"/>
      </rPr>
      <t xml:space="preserve"> </t>
    </r>
    <r>
      <rPr>
        <sz val="10"/>
        <rFont val="ＭＳ 明朝"/>
        <family val="1"/>
        <charset val="128"/>
      </rPr>
      <t>)より直上位を選定したものとして算出した。</t>
    </r>
    <rPh sb="0" eb="1">
      <t>チュウ</t>
    </rPh>
    <rPh sb="5" eb="7">
      <t>ユウドウ</t>
    </rPh>
    <rPh sb="7" eb="10">
      <t>デンドウキ</t>
    </rPh>
    <rPh sb="11" eb="13">
      <t>ヘイキン</t>
    </rPh>
    <rPh sb="13" eb="15">
      <t>フカ</t>
    </rPh>
    <rPh sb="15" eb="16">
      <t>リツ</t>
    </rPh>
    <rPh sb="18" eb="20">
      <t>ヒツヨウ</t>
    </rPh>
    <rPh sb="20" eb="21">
      <t>ジク</t>
    </rPh>
    <rPh sb="21" eb="23">
      <t>バリキ</t>
    </rPh>
    <rPh sb="32" eb="35">
      <t>ヨユウド</t>
    </rPh>
    <rPh sb="42" eb="43">
      <t>チョク</t>
    </rPh>
    <rPh sb="43" eb="45">
      <t>ジョウイ</t>
    </rPh>
    <rPh sb="46" eb="48">
      <t>センテイ</t>
    </rPh>
    <rPh sb="55" eb="57">
      <t>サンシュツ</t>
    </rPh>
    <phoneticPr fontId="126"/>
  </si>
  <si>
    <t>注-2) 誘導電動機の負荷率に対する効率および力率は、負荷率50％,75％,100％の各値より直線比例計算で求めた。</t>
    <rPh sb="0" eb="1">
      <t>チュウ</t>
    </rPh>
    <rPh sb="5" eb="7">
      <t>ユウドウ</t>
    </rPh>
    <rPh sb="7" eb="10">
      <t>デンドウキ</t>
    </rPh>
    <rPh sb="11" eb="13">
      <t>フカ</t>
    </rPh>
    <rPh sb="13" eb="14">
      <t>リツ</t>
    </rPh>
    <rPh sb="15" eb="16">
      <t>タイ</t>
    </rPh>
    <rPh sb="18" eb="20">
      <t>コウリツ</t>
    </rPh>
    <rPh sb="23" eb="24">
      <t>リキ</t>
    </rPh>
    <rPh sb="24" eb="25">
      <t>リツ</t>
    </rPh>
    <rPh sb="27" eb="29">
      <t>フカ</t>
    </rPh>
    <rPh sb="29" eb="30">
      <t>リツ</t>
    </rPh>
    <rPh sb="43" eb="44">
      <t>カク</t>
    </rPh>
    <rPh sb="44" eb="45">
      <t>チ</t>
    </rPh>
    <rPh sb="47" eb="49">
      <t>チョクセン</t>
    </rPh>
    <rPh sb="49" eb="51">
      <t>ヒレイ</t>
    </rPh>
    <rPh sb="51" eb="53">
      <t>ケイサン</t>
    </rPh>
    <rPh sb="54" eb="55">
      <t>モト</t>
    </rPh>
    <phoneticPr fontId="126"/>
  </si>
  <si>
    <r>
      <t>設計余裕度[％]</t>
    </r>
    <r>
      <rPr>
        <b/>
        <sz val="10"/>
        <color indexed="10"/>
        <rFont val="ＭＳ 明朝"/>
        <family val="1"/>
        <charset val="128"/>
      </rPr>
      <t>→</t>
    </r>
    <rPh sb="0" eb="2">
      <t>セッケイ</t>
    </rPh>
    <rPh sb="2" eb="5">
      <t>ヨユウド</t>
    </rPh>
    <phoneticPr fontId="126"/>
  </si>
  <si>
    <t>50Hz-200V</t>
    <phoneticPr fontId="126"/>
  </si>
  <si>
    <t xml:space="preserve"> 誘導電動機の効率・力率 (50Hz-200V)</t>
    <rPh sb="1" eb="3">
      <t>ユウドウ</t>
    </rPh>
    <rPh sb="3" eb="6">
      <t>デンドウキ</t>
    </rPh>
    <rPh sb="7" eb="9">
      <t>コウリツ</t>
    </rPh>
    <rPh sb="10" eb="11">
      <t>リキ</t>
    </rPh>
    <rPh sb="11" eb="12">
      <t>リツ</t>
    </rPh>
    <phoneticPr fontId="126"/>
  </si>
  <si>
    <t>60Hz-220V</t>
    <phoneticPr fontId="126"/>
  </si>
  <si>
    <t xml:space="preserve"> 誘導電動機の効率・力率 (60Hz-200V)</t>
    <rPh sb="1" eb="3">
      <t>ユウドウ</t>
    </rPh>
    <rPh sb="3" eb="6">
      <t>デンドウキ</t>
    </rPh>
    <rPh sb="7" eb="9">
      <t>コウリツ</t>
    </rPh>
    <rPh sb="10" eb="11">
      <t>リキ</t>
    </rPh>
    <rPh sb="11" eb="12">
      <t>リツ</t>
    </rPh>
    <phoneticPr fontId="126"/>
  </si>
  <si>
    <t>出力</t>
    <rPh sb="0" eb="2">
      <t>シュツリョク</t>
    </rPh>
    <phoneticPr fontId="126"/>
  </si>
  <si>
    <t>効率(％)</t>
    <rPh sb="0" eb="2">
      <t>コウリツ</t>
    </rPh>
    <phoneticPr fontId="126"/>
  </si>
  <si>
    <t>力率(％)</t>
    <rPh sb="0" eb="1">
      <t>リキ</t>
    </rPh>
    <rPh sb="1" eb="2">
      <t>リツ</t>
    </rPh>
    <phoneticPr fontId="126"/>
  </si>
  <si>
    <t>50％ 負荷時</t>
    <rPh sb="4" eb="6">
      <t>フカ</t>
    </rPh>
    <rPh sb="6" eb="7">
      <t>ジ</t>
    </rPh>
    <phoneticPr fontId="126"/>
  </si>
  <si>
    <t>75％ 負荷時</t>
    <rPh sb="4" eb="6">
      <t>フカ</t>
    </rPh>
    <rPh sb="6" eb="7">
      <t>ジ</t>
    </rPh>
    <phoneticPr fontId="126"/>
  </si>
  <si>
    <t>100％ 負荷時</t>
    <rPh sb="5" eb="7">
      <t>フカ</t>
    </rPh>
    <rPh sb="7" eb="8">
      <t>ジ</t>
    </rPh>
    <phoneticPr fontId="126"/>
  </si>
  <si>
    <t>KW</t>
    <phoneticPr fontId="126"/>
  </si>
  <si>
    <t>データ・シート</t>
    <phoneticPr fontId="126"/>
  </si>
  <si>
    <t>負荷率</t>
    <rPh sb="0" eb="2">
      <t>フカ</t>
    </rPh>
    <rPh sb="2" eb="3">
      <t>リツ</t>
    </rPh>
    <phoneticPr fontId="3"/>
  </si>
  <si>
    <r>
      <t>効率</t>
    </r>
    <r>
      <rPr>
        <sz val="7"/>
        <rFont val="メイリオ"/>
        <family val="3"/>
        <charset val="128"/>
      </rPr>
      <t xml:space="preserve"> η</t>
    </r>
    <rPh sb="0" eb="2">
      <t>コウリツ</t>
    </rPh>
    <phoneticPr fontId="3"/>
  </si>
  <si>
    <r>
      <t>力率</t>
    </r>
    <r>
      <rPr>
        <sz val="7"/>
        <rFont val="メイリオ"/>
        <family val="3"/>
        <charset val="128"/>
      </rPr>
      <t xml:space="preserve"> cosφ</t>
    </r>
    <rPh sb="0" eb="2">
      <t>リキリツ</t>
    </rPh>
    <phoneticPr fontId="3"/>
  </si>
  <si>
    <t>実負荷KW</t>
    <rPh sb="0" eb="1">
      <t>ジツ</t>
    </rPh>
    <rPh sb="1" eb="3">
      <t>フカ</t>
    </rPh>
    <phoneticPr fontId="3"/>
  </si>
  <si>
    <t xml:space="preserve"> 誘導電動機</t>
    <rPh sb="1" eb="3">
      <t>ユウドウ</t>
    </rPh>
    <rPh sb="3" eb="6">
      <t>デンドウキ</t>
    </rPh>
    <phoneticPr fontId="126"/>
  </si>
  <si>
    <t>直流回路電圧降下計算式</t>
    <rPh sb="0" eb="2">
      <t>チョクリュウ</t>
    </rPh>
    <rPh sb="2" eb="4">
      <t>カイロ</t>
    </rPh>
    <rPh sb="4" eb="6">
      <t>デンアツ</t>
    </rPh>
    <rPh sb="6" eb="8">
      <t>コウカ</t>
    </rPh>
    <rPh sb="8" eb="10">
      <t>ケイサン</t>
    </rPh>
    <rPh sb="10" eb="11">
      <t>シキ</t>
    </rPh>
    <phoneticPr fontId="3"/>
  </si>
  <si>
    <t>ｅ:電圧降下 [V]    L:電線亘長 [m]    I:電流値 [A]    A:電線断面積 [sq]</t>
    <rPh sb="16" eb="18">
      <t>デンセン</t>
    </rPh>
    <rPh sb="18" eb="20">
      <t>コウチョウ</t>
    </rPh>
    <rPh sb="30" eb="32">
      <t>デンリュウ</t>
    </rPh>
    <rPh sb="32" eb="33">
      <t>チ</t>
    </rPh>
    <rPh sb="43" eb="45">
      <t>デンセン</t>
    </rPh>
    <rPh sb="45" eb="48">
      <t>ダンメンセキ</t>
    </rPh>
    <phoneticPr fontId="3"/>
  </si>
  <si>
    <t>Load List の電動機設計余裕度</t>
    <rPh sb="11" eb="14">
      <t>デンドウキ</t>
    </rPh>
    <rPh sb="14" eb="16">
      <t>セッケイ</t>
    </rPh>
    <rPh sb="16" eb="18">
      <t>ヨユウ</t>
    </rPh>
    <rPh sb="18" eb="19">
      <t>ド</t>
    </rPh>
    <phoneticPr fontId="3"/>
  </si>
  <si>
    <t>変圧器定格</t>
    <rPh sb="0" eb="3">
      <t>ヘンアツキ</t>
    </rPh>
    <rPh sb="3" eb="5">
      <t>テイカク</t>
    </rPh>
    <phoneticPr fontId="3"/>
  </si>
  <si>
    <t>容量</t>
    <rPh sb="0" eb="2">
      <t>ヨウリョウ</t>
    </rPh>
    <phoneticPr fontId="3"/>
  </si>
  <si>
    <t>周波数</t>
    <phoneticPr fontId="3"/>
  </si>
  <si>
    <t>二次電圧</t>
    <rPh sb="0" eb="2">
      <t>ニジ</t>
    </rPh>
    <rPh sb="2" eb="4">
      <t>デンアツ</t>
    </rPh>
    <phoneticPr fontId="3"/>
  </si>
  <si>
    <t>型式</t>
    <rPh sb="0" eb="2">
      <t>カタシキ</t>
    </rPh>
    <phoneticPr fontId="3"/>
  </si>
  <si>
    <t>条数</t>
    <rPh sb="0" eb="2">
      <t>ジョウスウ</t>
    </rPh>
    <phoneticPr fontId="3"/>
  </si>
  <si>
    <t>亘長[m]</t>
    <rPh sb="0" eb="2">
      <t>コウチョウ</t>
    </rPh>
    <phoneticPr fontId="3"/>
  </si>
  <si>
    <t>付設方法</t>
    <rPh sb="0" eb="2">
      <t>フセツ</t>
    </rPh>
    <rPh sb="2" eb="4">
      <t>ホウホウ</t>
    </rPh>
    <phoneticPr fontId="3"/>
  </si>
  <si>
    <t>気中暗渠</t>
    <rPh sb="0" eb="2">
      <t>キチュウ</t>
    </rPh>
    <rPh sb="2" eb="4">
      <t>アンキョ</t>
    </rPh>
    <phoneticPr fontId="3"/>
  </si>
  <si>
    <t>気中配管</t>
    <rPh sb="0" eb="2">
      <t>キチュウ</t>
    </rPh>
    <rPh sb="2" eb="4">
      <t>ハイカン</t>
    </rPh>
    <phoneticPr fontId="3"/>
  </si>
  <si>
    <t>地中埋設</t>
    <rPh sb="0" eb="2">
      <t>チチュウ</t>
    </rPh>
    <rPh sb="2" eb="4">
      <t>マイセツ</t>
    </rPh>
    <phoneticPr fontId="3"/>
  </si>
  <si>
    <t>地中配管</t>
    <rPh sb="0" eb="2">
      <t>チチュウ</t>
    </rPh>
    <rPh sb="2" eb="4">
      <t>ハイカン</t>
    </rPh>
    <phoneticPr fontId="3"/>
  </si>
  <si>
    <t>オープンピット</t>
    <phoneticPr fontId="3"/>
  </si>
  <si>
    <t>ケーブルラック</t>
    <phoneticPr fontId="3"/>
  </si>
  <si>
    <t>直流公式</t>
    <rPh sb="0" eb="2">
      <t>チョクリュウ</t>
    </rPh>
    <rPh sb="2" eb="4">
      <t>コウシキ</t>
    </rPh>
    <phoneticPr fontId="3"/>
  </si>
  <si>
    <t>交流公式</t>
    <rPh sb="0" eb="2">
      <t>コウリュウ</t>
    </rPh>
    <rPh sb="2" eb="4">
      <t>コウシキ</t>
    </rPh>
    <phoneticPr fontId="3"/>
  </si>
  <si>
    <t>ｅ＝K･L･I／(1000･A) [V]</t>
    <phoneticPr fontId="3"/>
  </si>
  <si>
    <t>Ｋt＝Ｋ20×[1＋0.00393(ｔ－20)]    ｔ[℃]における電圧降下係数   K20=30.8</t>
    <phoneticPr fontId="3"/>
  </si>
  <si>
    <r>
      <t xml:space="preserve">電線-1  </t>
    </r>
    <r>
      <rPr>
        <b/>
        <sz val="8"/>
        <rFont val="メイリオ"/>
        <family val="3"/>
        <charset val="128"/>
      </rPr>
      <t>R</t>
    </r>
    <r>
      <rPr>
        <sz val="8"/>
        <rFont val="メイリオ"/>
        <family val="3"/>
        <charset val="128"/>
      </rPr>
      <t xml:space="preserve"> [mΩ]+J</t>
    </r>
    <r>
      <rPr>
        <b/>
        <sz val="8"/>
        <rFont val="メイリオ"/>
        <family val="3"/>
        <charset val="128"/>
      </rPr>
      <t>x</t>
    </r>
    <r>
      <rPr>
        <sz val="8"/>
        <rFont val="メイリオ"/>
        <family val="3"/>
        <charset val="128"/>
      </rPr>
      <t xml:space="preserve"> [mΩ]</t>
    </r>
    <rPh sb="0" eb="2">
      <t>デンセン</t>
    </rPh>
    <phoneticPr fontId="3"/>
  </si>
  <si>
    <r>
      <t xml:space="preserve">電線-2  </t>
    </r>
    <r>
      <rPr>
        <b/>
        <sz val="8"/>
        <rFont val="メイリオ"/>
        <family val="3"/>
        <charset val="128"/>
      </rPr>
      <t>R</t>
    </r>
    <r>
      <rPr>
        <sz val="8"/>
        <rFont val="メイリオ"/>
        <family val="3"/>
        <charset val="128"/>
      </rPr>
      <t xml:space="preserve"> [mΩ]+J</t>
    </r>
    <r>
      <rPr>
        <b/>
        <sz val="8"/>
        <rFont val="メイリオ"/>
        <family val="3"/>
        <charset val="128"/>
      </rPr>
      <t>x</t>
    </r>
    <r>
      <rPr>
        <sz val="8"/>
        <rFont val="メイリオ"/>
        <family val="3"/>
        <charset val="128"/>
      </rPr>
      <t xml:space="preserve"> [mΩ]</t>
    </r>
    <rPh sb="0" eb="2">
      <t>デンセン</t>
    </rPh>
    <phoneticPr fontId="3"/>
  </si>
  <si>
    <t>BD-1700A</t>
    <phoneticPr fontId="3"/>
  </si>
  <si>
    <t>BD-2000A</t>
    <phoneticPr fontId="3"/>
  </si>
  <si>
    <t>BD-800A</t>
    <phoneticPr fontId="3"/>
  </si>
  <si>
    <t>BD-1000A</t>
    <phoneticPr fontId="3"/>
  </si>
  <si>
    <t>BD-1500A</t>
    <phoneticPr fontId="3"/>
  </si>
  <si>
    <t>600V 3W-BD</t>
    <phoneticPr fontId="3"/>
  </si>
  <si>
    <t>3W-BD 800A</t>
    <phoneticPr fontId="3"/>
  </si>
  <si>
    <t>3W-BD 1000A</t>
    <phoneticPr fontId="3"/>
  </si>
  <si>
    <t>3W-BD 1500A</t>
    <phoneticPr fontId="3"/>
  </si>
  <si>
    <t>3W-BD 1700A</t>
    <phoneticPr fontId="3"/>
  </si>
  <si>
    <t>3W-BD 2000A</t>
    <phoneticPr fontId="3"/>
  </si>
  <si>
    <t>入力 KVA</t>
    <rPh sb="0" eb="2">
      <t>ニュウリョク</t>
    </rPh>
    <phoneticPr fontId="3"/>
  </si>
  <si>
    <t>誤差[％]</t>
    <rPh sb="0" eb="2">
      <t>ゴサ</t>
    </rPh>
    <phoneticPr fontId="3"/>
  </si>
  <si>
    <t>平均力率</t>
    <rPh sb="0" eb="2">
      <t>ヘイキン</t>
    </rPh>
    <rPh sb="2" eb="4">
      <t>リキリツ</t>
    </rPh>
    <phoneticPr fontId="3"/>
  </si>
  <si>
    <t>負荷電流</t>
    <rPh sb="0" eb="2">
      <t>フカ</t>
    </rPh>
    <rPh sb="2" eb="4">
      <t>デンリュウ</t>
    </rPh>
    <phoneticPr fontId="3"/>
  </si>
  <si>
    <t>負荷電圧</t>
    <rPh sb="0" eb="2">
      <t>フカ</t>
    </rPh>
    <rPh sb="2" eb="4">
      <t>デンアツ</t>
    </rPh>
    <phoneticPr fontId="3"/>
  </si>
  <si>
    <t>需要KW</t>
    <rPh sb="0" eb="2">
      <t>ジュヨウ</t>
    </rPh>
    <phoneticPr fontId="3"/>
  </si>
  <si>
    <t>需要Kvar</t>
    <rPh sb="0" eb="2">
      <t>ジュヨウ</t>
    </rPh>
    <phoneticPr fontId="3"/>
  </si>
  <si>
    <t>需要KVA</t>
    <rPh sb="0" eb="2">
      <t>ジュヨウ</t>
    </rPh>
    <phoneticPr fontId="3"/>
  </si>
  <si>
    <t>動力盤-1</t>
    <phoneticPr fontId="3"/>
  </si>
  <si>
    <t>動力盤-2</t>
    <phoneticPr fontId="3"/>
  </si>
  <si>
    <t>計算結果について</t>
    <rPh sb="0" eb="2">
      <t>ケイサン</t>
    </rPh>
    <rPh sb="2" eb="4">
      <t>ケッカ</t>
    </rPh>
    <phoneticPr fontId="3"/>
  </si>
  <si>
    <t>線路電圧降下</t>
    <rPh sb="0" eb="2">
      <t>センロ</t>
    </rPh>
    <rPh sb="2" eb="4">
      <t>デンアツ</t>
    </rPh>
    <rPh sb="4" eb="6">
      <t>コウカ</t>
    </rPh>
    <phoneticPr fontId="3"/>
  </si>
  <si>
    <t>電線-1</t>
    <rPh sb="0" eb="2">
      <t>デンセン</t>
    </rPh>
    <phoneticPr fontId="3"/>
  </si>
  <si>
    <t>電線-2</t>
    <rPh sb="0" eb="2">
      <t>デンセン</t>
    </rPh>
    <phoneticPr fontId="3"/>
  </si>
  <si>
    <t>電線-3</t>
    <rPh sb="0" eb="2">
      <t>デンセン</t>
    </rPh>
    <phoneticPr fontId="3"/>
  </si>
  <si>
    <t>電気方式</t>
    <rPh sb="0" eb="2">
      <t>デンキ</t>
    </rPh>
    <rPh sb="2" eb="4">
      <t>ホウシキ</t>
    </rPh>
    <phoneticPr fontId="3"/>
  </si>
  <si>
    <t>電線-1,2:</t>
    <rPh sb="0" eb="2">
      <t>デンセン</t>
    </rPh>
    <phoneticPr fontId="3"/>
  </si>
  <si>
    <t>電線-3:</t>
    <rPh sb="0" eb="2">
      <t>デンセン</t>
    </rPh>
    <phoneticPr fontId="3"/>
  </si>
  <si>
    <t>高圧コンデンサ容量</t>
    <rPh sb="0" eb="2">
      <t>コウアツ</t>
    </rPh>
    <rPh sb="7" eb="9">
      <t>ヨウリョウ</t>
    </rPh>
    <phoneticPr fontId="3"/>
  </si>
  <si>
    <t>負荷種別</t>
    <rPh sb="0" eb="2">
      <t>フカ</t>
    </rPh>
    <rPh sb="2" eb="4">
      <t>シュベツ</t>
    </rPh>
    <phoneticPr fontId="38"/>
  </si>
  <si>
    <t>生産動力</t>
    <rPh sb="0" eb="2">
      <t>セイサン</t>
    </rPh>
    <rPh sb="2" eb="4">
      <t>ドウリョク</t>
    </rPh>
    <phoneticPr fontId="38"/>
  </si>
  <si>
    <t>熱源動力</t>
    <rPh sb="0" eb="2">
      <t>ネツゲン</t>
    </rPh>
    <rPh sb="2" eb="4">
      <t>ドウリョク</t>
    </rPh>
    <phoneticPr fontId="38"/>
  </si>
  <si>
    <t>空調動力</t>
    <rPh sb="0" eb="2">
      <t>クウチョウ</t>
    </rPh>
    <rPh sb="2" eb="4">
      <t>ドウリョク</t>
    </rPh>
    <phoneticPr fontId="38"/>
  </si>
  <si>
    <t>換気動力</t>
    <rPh sb="0" eb="2">
      <t>カンキ</t>
    </rPh>
    <rPh sb="2" eb="4">
      <t>ドウリョク</t>
    </rPh>
    <phoneticPr fontId="38"/>
  </si>
  <si>
    <t>衛生動力</t>
    <rPh sb="0" eb="2">
      <t>エイセイ</t>
    </rPh>
    <rPh sb="2" eb="4">
      <t>ドウリョク</t>
    </rPh>
    <phoneticPr fontId="38"/>
  </si>
  <si>
    <t>防災動力</t>
    <rPh sb="0" eb="2">
      <t>ボウサイ</t>
    </rPh>
    <rPh sb="2" eb="4">
      <t>ドウリョク</t>
    </rPh>
    <phoneticPr fontId="38"/>
  </si>
  <si>
    <t>動力差込</t>
    <rPh sb="0" eb="2">
      <t>ドウリョク</t>
    </rPh>
    <rPh sb="2" eb="4">
      <t>サシコミ</t>
    </rPh>
    <phoneticPr fontId="38"/>
  </si>
  <si>
    <t>照明器具</t>
    <rPh sb="0" eb="2">
      <t>ショウメイ</t>
    </rPh>
    <rPh sb="2" eb="4">
      <t>キグ</t>
    </rPh>
    <phoneticPr fontId="38"/>
  </si>
  <si>
    <t>専用回路</t>
    <rPh sb="0" eb="2">
      <t>センヨウ</t>
    </rPh>
    <rPh sb="2" eb="4">
      <t>カイロ</t>
    </rPh>
    <phoneticPr fontId="38"/>
  </si>
  <si>
    <t>防災電源</t>
    <rPh sb="0" eb="2">
      <t>ボウサイ</t>
    </rPh>
    <rPh sb="2" eb="4">
      <t>デンゲン</t>
    </rPh>
    <phoneticPr fontId="38"/>
  </si>
  <si>
    <t>布設方法</t>
    <rPh sb="0" eb="2">
      <t>フセツ</t>
    </rPh>
    <rPh sb="2" eb="4">
      <t>ホウホウ</t>
    </rPh>
    <phoneticPr fontId="38"/>
  </si>
  <si>
    <t>気中暗渠</t>
    <rPh sb="0" eb="2">
      <t>キチュウ</t>
    </rPh>
    <rPh sb="2" eb="4">
      <t>アンキョ</t>
    </rPh>
    <phoneticPr fontId="38"/>
  </si>
  <si>
    <t>気中開渠</t>
    <rPh sb="0" eb="1">
      <t>キ</t>
    </rPh>
    <rPh sb="1" eb="2">
      <t>チュウ</t>
    </rPh>
    <rPh sb="2" eb="4">
      <t>カイキョ</t>
    </rPh>
    <phoneticPr fontId="38"/>
  </si>
  <si>
    <t>地中管路</t>
    <rPh sb="0" eb="2">
      <t>チチュウ</t>
    </rPh>
    <rPh sb="2" eb="3">
      <t>カン</t>
    </rPh>
    <rPh sb="3" eb="4">
      <t>ミチ</t>
    </rPh>
    <phoneticPr fontId="38"/>
  </si>
  <si>
    <t>地中直埋</t>
    <rPh sb="0" eb="2">
      <t>チチュウ</t>
    </rPh>
    <rPh sb="2" eb="3">
      <t>チョク</t>
    </rPh>
    <rPh sb="3" eb="4">
      <t>マイ</t>
    </rPh>
    <phoneticPr fontId="38"/>
  </si>
  <si>
    <r>
      <t xml:space="preserve"> </t>
    </r>
    <r>
      <rPr>
        <b/>
        <sz val="11"/>
        <rFont val="Arial Black"/>
        <family val="2"/>
      </rPr>
      <t>ESE</t>
    </r>
    <r>
      <rPr>
        <b/>
        <sz val="11"/>
        <rFont val="ＭＳ ゴシック"/>
        <family val="3"/>
        <charset val="128"/>
      </rPr>
      <t>-VD4</t>
    </r>
    <r>
      <rPr>
        <b/>
        <sz val="10"/>
        <rFont val="ＭＳ ゴシック"/>
        <family val="3"/>
        <charset val="128"/>
      </rPr>
      <t xml:space="preserve">
　　 </t>
    </r>
    <r>
      <rPr>
        <b/>
        <sz val="12"/>
        <rFont val="ＭＳ Ｐ明朝"/>
        <family val="1"/>
        <charset val="128"/>
      </rPr>
      <t>交　流　回　路　解　析　計　算</t>
    </r>
    <rPh sb="12" eb="13">
      <t>コウ</t>
    </rPh>
    <rPh sb="14" eb="15">
      <t>ナガレ</t>
    </rPh>
    <rPh sb="16" eb="17">
      <t>カイ</t>
    </rPh>
    <rPh sb="18" eb="19">
      <t>ミチ</t>
    </rPh>
    <rPh sb="20" eb="21">
      <t>カイ</t>
    </rPh>
    <rPh sb="22" eb="23">
      <t>セキ</t>
    </rPh>
    <rPh sb="24" eb="25">
      <t>ケイ</t>
    </rPh>
    <rPh sb="26" eb="27">
      <t>サン</t>
    </rPh>
    <phoneticPr fontId="3"/>
  </si>
  <si>
    <r>
      <rPr>
        <b/>
        <sz val="14"/>
        <rFont val="ＭＳ Ｐ明朝"/>
        <family val="1"/>
        <charset val="128"/>
      </rPr>
      <t>＊＊＊＊＊＊株式会社</t>
    </r>
    <r>
      <rPr>
        <b/>
        <sz val="16"/>
        <rFont val="Times New Roman"/>
        <family val="1"/>
      </rPr>
      <t xml:space="preserve">
</t>
    </r>
    <r>
      <rPr>
        <b/>
        <sz val="11"/>
        <rFont val="Times New Roman"/>
        <family val="1"/>
      </rPr>
      <t>Electro Systems Engineering SERVICE</t>
    </r>
    <r>
      <rPr>
        <b/>
        <sz val="13"/>
        <rFont val="Times New Roman"/>
        <family val="1"/>
      </rPr>
      <t xml:space="preserve"> </t>
    </r>
    <rPh sb="6" eb="10">
      <t>カブシキガイシャ</t>
    </rPh>
    <phoneticPr fontId="38"/>
  </si>
  <si>
    <t xml:space="preserve">  </t>
    <phoneticPr fontId="38"/>
  </si>
  <si>
    <t>　</t>
    <phoneticPr fontId="38"/>
  </si>
  <si>
    <t>2011/10/31  Ver1.0</t>
    <phoneticPr fontId="38"/>
  </si>
  <si>
    <t>電 気 方 式</t>
    <phoneticPr fontId="3"/>
  </si>
  <si>
    <t xml:space="preserve">備　　　　　　　　考 </t>
    <phoneticPr fontId="3"/>
  </si>
  <si>
    <t>電 力 変 圧 器</t>
    <phoneticPr fontId="3"/>
  </si>
  <si>
    <r>
      <t>1</t>
    </r>
    <r>
      <rPr>
        <sz val="11"/>
        <rFont val="ＭＳ Ｐゴシック"/>
        <family val="3"/>
        <charset val="128"/>
      </rPr>
      <t>φ</t>
    </r>
    <r>
      <rPr>
        <sz val="11"/>
        <rFont val="ＭＳ Ｐゴシック"/>
        <family val="3"/>
        <charset val="128"/>
      </rPr>
      <t>-R</t>
    </r>
    <phoneticPr fontId="3"/>
  </si>
  <si>
    <r>
      <t>User</t>
    </r>
    <r>
      <rPr>
        <sz val="11"/>
        <rFont val="ＭＳ Ｐゴシック"/>
        <family val="3"/>
        <charset val="128"/>
      </rPr>
      <t>-R</t>
    </r>
    <phoneticPr fontId="3"/>
  </si>
  <si>
    <r>
      <t>SC</t>
    </r>
    <r>
      <rPr>
        <sz val="8"/>
        <rFont val="ＭＳ Ｐゴシック"/>
        <family val="3"/>
        <charset val="128"/>
      </rPr>
      <t>S</t>
    </r>
    <phoneticPr fontId="3"/>
  </si>
  <si>
    <t>ｎφｎW-1</t>
    <phoneticPr fontId="3"/>
  </si>
  <si>
    <r>
      <t>R-</t>
    </r>
    <r>
      <rPr>
        <sz val="8"/>
        <rFont val="ＭＳ Ｐゴシック"/>
        <family val="3"/>
        <charset val="128"/>
      </rPr>
      <t>C1n</t>
    </r>
    <phoneticPr fontId="3"/>
  </si>
  <si>
    <r>
      <t>Ｒ-</t>
    </r>
    <r>
      <rPr>
        <sz val="8"/>
        <rFont val="ＭＳ Ｐゴシック"/>
        <family val="3"/>
        <charset val="128"/>
      </rPr>
      <t>ｎ２</t>
    </r>
    <phoneticPr fontId="3"/>
  </si>
  <si>
    <r>
      <t>Ｒ-</t>
    </r>
    <r>
      <rPr>
        <sz val="8"/>
        <rFont val="ＭＳ Ｐゴシック"/>
        <family val="3"/>
        <charset val="128"/>
      </rPr>
      <t>ｎ４</t>
    </r>
    <phoneticPr fontId="3"/>
  </si>
  <si>
    <r>
      <t>Ｒ</t>
    </r>
    <r>
      <rPr>
        <sz val="11"/>
        <rFont val="ＭＳ Ｐゴシック"/>
        <family val="3"/>
        <charset val="128"/>
      </rPr>
      <t>-</t>
    </r>
    <r>
      <rPr>
        <sz val="8"/>
        <rFont val="ＭＳ Ｐゴシック"/>
        <family val="3"/>
        <charset val="128"/>
      </rPr>
      <t>ACG</t>
    </r>
    <phoneticPr fontId="3"/>
  </si>
  <si>
    <r>
      <t>Ｒ-</t>
    </r>
    <r>
      <rPr>
        <sz val="8"/>
        <rFont val="ＭＳ Ｐゴシック"/>
        <family val="3"/>
        <charset val="128"/>
      </rPr>
      <t>０１</t>
    </r>
    <phoneticPr fontId="3"/>
  </si>
  <si>
    <r>
      <t>Ｅ-</t>
    </r>
    <r>
      <rPr>
        <sz val="8"/>
        <rFont val="ＭＳ Ｐゴシック"/>
        <family val="3"/>
        <charset val="128"/>
      </rPr>
      <t>Ｃｎ</t>
    </r>
    <phoneticPr fontId="3"/>
  </si>
  <si>
    <t>φ-G20</t>
    <phoneticPr fontId="3"/>
  </si>
  <si>
    <t>φ</t>
    <phoneticPr fontId="3"/>
  </si>
  <si>
    <t>W</t>
    <phoneticPr fontId="3"/>
  </si>
  <si>
    <t>V</t>
    <phoneticPr fontId="3"/>
  </si>
  <si>
    <r>
      <t>Ｚ</t>
    </r>
    <r>
      <rPr>
        <sz val="6"/>
        <rFont val="ＭＳ Ｐゴシック"/>
        <family val="3"/>
        <charset val="128"/>
      </rPr>
      <t xml:space="preserve"> Ｌ</t>
    </r>
    <r>
      <rPr>
        <sz val="10"/>
        <rFont val="ＭＳ Ｐゴシック"/>
        <family val="3"/>
        <charset val="128"/>
      </rPr>
      <t xml:space="preserve"> </t>
    </r>
    <r>
      <rPr>
        <sz val="10"/>
        <rFont val="ＭＳ Ｐ明朝"/>
        <family val="1"/>
        <charset val="128"/>
      </rPr>
      <t>[Ω]</t>
    </r>
    <phoneticPr fontId="3"/>
  </si>
  <si>
    <t>亘 長      [ｍ]</t>
    <phoneticPr fontId="3"/>
  </si>
  <si>
    <r>
      <t>Ｅ</t>
    </r>
    <r>
      <rPr>
        <sz val="6"/>
        <rFont val="ＭＳ Ｐゴシック"/>
        <family val="3"/>
        <charset val="128"/>
      </rPr>
      <t>Ｌ</t>
    </r>
    <r>
      <rPr>
        <sz val="10"/>
        <rFont val="ＭＳ Ｐ明朝"/>
        <family val="1"/>
        <charset val="128"/>
      </rPr>
      <t>／</t>
    </r>
    <r>
      <rPr>
        <b/>
        <sz val="10"/>
        <rFont val="ＭＳ Ｐゴシック"/>
        <family val="3"/>
        <charset val="128"/>
      </rPr>
      <t>Ｅ</t>
    </r>
    <r>
      <rPr>
        <sz val="6"/>
        <rFont val="ＭＳ Ｐゴシック"/>
        <family val="3"/>
        <charset val="128"/>
      </rPr>
      <t>Ｓ</t>
    </r>
    <r>
      <rPr>
        <sz val="10"/>
        <rFont val="ＭＳ Ｐ明朝"/>
        <family val="1"/>
        <charset val="128"/>
      </rPr>
      <t>[％]</t>
    </r>
    <phoneticPr fontId="3"/>
  </si>
  <si>
    <r>
      <t>1φ</t>
    </r>
    <r>
      <rPr>
        <sz val="11"/>
        <rFont val="ＭＳ Ｐゴシック"/>
        <family val="3"/>
        <charset val="128"/>
      </rPr>
      <t>-X</t>
    </r>
    <phoneticPr fontId="3"/>
  </si>
  <si>
    <r>
      <t>User</t>
    </r>
    <r>
      <rPr>
        <sz val="11"/>
        <rFont val="ＭＳ Ｐゴシック"/>
        <family val="3"/>
        <charset val="128"/>
      </rPr>
      <t>-X</t>
    </r>
    <phoneticPr fontId="3"/>
  </si>
  <si>
    <r>
      <t>SC</t>
    </r>
    <r>
      <rPr>
        <sz val="8"/>
        <rFont val="ＭＳ Ｐゴシック"/>
        <family val="3"/>
        <charset val="128"/>
      </rPr>
      <t>Load</t>
    </r>
    <phoneticPr fontId="3"/>
  </si>
  <si>
    <t>ｎφｎW-2</t>
    <phoneticPr fontId="3"/>
  </si>
  <si>
    <r>
      <t>X-</t>
    </r>
    <r>
      <rPr>
        <sz val="8"/>
        <rFont val="ＭＳ Ｐゴシック"/>
        <family val="3"/>
        <charset val="128"/>
      </rPr>
      <t>C1n</t>
    </r>
    <phoneticPr fontId="3"/>
  </si>
  <si>
    <r>
      <t>Ｘ-</t>
    </r>
    <r>
      <rPr>
        <sz val="8"/>
        <rFont val="ＭＳ Ｐゴシック"/>
        <family val="3"/>
        <charset val="128"/>
      </rPr>
      <t>ｎ２</t>
    </r>
    <phoneticPr fontId="3"/>
  </si>
  <si>
    <r>
      <t>Ｘ-</t>
    </r>
    <r>
      <rPr>
        <sz val="8"/>
        <rFont val="ＭＳ Ｐゴシック"/>
        <family val="3"/>
        <charset val="128"/>
      </rPr>
      <t>ｎ４</t>
    </r>
    <phoneticPr fontId="3"/>
  </si>
  <si>
    <r>
      <t>X</t>
    </r>
    <r>
      <rPr>
        <sz val="11"/>
        <rFont val="ＭＳ Ｐゴシック"/>
        <family val="3"/>
        <charset val="128"/>
      </rPr>
      <t>-</t>
    </r>
    <r>
      <rPr>
        <sz val="8"/>
        <rFont val="ＭＳ Ｐゴシック"/>
        <family val="3"/>
        <charset val="128"/>
      </rPr>
      <t>ACG</t>
    </r>
    <phoneticPr fontId="3"/>
  </si>
  <si>
    <r>
      <t>Ｘ-</t>
    </r>
    <r>
      <rPr>
        <sz val="8"/>
        <rFont val="ＭＳ Ｐゴシック"/>
        <family val="3"/>
        <charset val="128"/>
      </rPr>
      <t>０１</t>
    </r>
    <phoneticPr fontId="3"/>
  </si>
  <si>
    <t>ｗ-Ｉ20</t>
    <phoneticPr fontId="3"/>
  </si>
  <si>
    <t>Drop down LIST</t>
    <phoneticPr fontId="38"/>
  </si>
  <si>
    <r>
      <t xml:space="preserve">％ </t>
    </r>
    <r>
      <rPr>
        <sz val="10"/>
        <rFont val="ＭＳ Ｐゴシック"/>
        <family val="3"/>
        <charset val="128"/>
      </rPr>
      <t>Ｚ</t>
    </r>
    <phoneticPr fontId="3"/>
  </si>
  <si>
    <t>[Kvar]</t>
    <phoneticPr fontId="3"/>
  </si>
  <si>
    <r>
      <t>Ｒ</t>
    </r>
    <r>
      <rPr>
        <sz val="6"/>
        <rFont val="ＭＳ Ｐゴシック"/>
        <family val="3"/>
        <charset val="128"/>
      </rPr>
      <t xml:space="preserve"> Ｌ</t>
    </r>
    <r>
      <rPr>
        <sz val="10"/>
        <rFont val="ＭＳ Ｐゴシック"/>
        <family val="3"/>
        <charset val="128"/>
      </rPr>
      <t xml:space="preserve"> </t>
    </r>
    <r>
      <rPr>
        <sz val="10"/>
        <rFont val="ＭＳ Ｐ明朝"/>
        <family val="1"/>
        <charset val="128"/>
      </rPr>
      <t>[Ω]</t>
    </r>
    <phoneticPr fontId="3"/>
  </si>
  <si>
    <r>
      <t>(</t>
    </r>
    <r>
      <rPr>
        <b/>
        <sz val="10"/>
        <rFont val="ＭＳ Ｐゴシック"/>
        <family val="3"/>
        <charset val="128"/>
      </rPr>
      <t>Ｅ</t>
    </r>
    <r>
      <rPr>
        <sz val="10"/>
        <rFont val="ＭＳ Ｐ明朝"/>
        <family val="1"/>
        <charset val="128"/>
      </rPr>
      <t>-</t>
    </r>
    <r>
      <rPr>
        <b/>
        <sz val="10"/>
        <rFont val="ＭＳ Ｐゴシック"/>
        <family val="3"/>
        <charset val="128"/>
      </rPr>
      <t>Ｅ</t>
    </r>
    <r>
      <rPr>
        <sz val="6"/>
        <rFont val="ＭＳ Ｐゴシック"/>
        <family val="3"/>
        <charset val="128"/>
      </rPr>
      <t>Ｌ</t>
    </r>
    <r>
      <rPr>
        <sz val="10"/>
        <rFont val="ＭＳ Ｐゴシック"/>
        <family val="3"/>
        <charset val="128"/>
      </rPr>
      <t>)</t>
    </r>
    <r>
      <rPr>
        <sz val="10"/>
        <rFont val="ＭＳ Ｐ明朝"/>
        <family val="1"/>
        <charset val="128"/>
      </rPr>
      <t>／</t>
    </r>
    <r>
      <rPr>
        <b/>
        <sz val="10"/>
        <rFont val="ＭＳ Ｐゴシック"/>
        <family val="3"/>
        <charset val="128"/>
      </rPr>
      <t>Ｅ</t>
    </r>
    <r>
      <rPr>
        <sz val="6"/>
        <rFont val="ＭＳ Ｐゴシック"/>
        <family val="3"/>
        <charset val="128"/>
      </rPr>
      <t>Ｓ</t>
    </r>
    <r>
      <rPr>
        <sz val="10"/>
        <rFont val="ＭＳ Ｐ明朝"/>
        <family val="1"/>
        <charset val="128"/>
      </rPr>
      <t>[％]</t>
    </r>
    <phoneticPr fontId="3"/>
  </si>
  <si>
    <r>
      <t>3</t>
    </r>
    <r>
      <rPr>
        <sz val="11"/>
        <rFont val="ＭＳ Ｐゴシック"/>
        <family val="3"/>
        <charset val="128"/>
      </rPr>
      <t>φ</t>
    </r>
    <r>
      <rPr>
        <sz val="11"/>
        <rFont val="ＭＳ Ｐゴシック"/>
        <family val="3"/>
        <charset val="128"/>
      </rPr>
      <t>-R</t>
    </r>
    <phoneticPr fontId="3"/>
  </si>
  <si>
    <r>
      <t>Ｒ-</t>
    </r>
    <r>
      <rPr>
        <sz val="8"/>
        <rFont val="ＭＳ Ｐゴシック"/>
        <family val="3"/>
        <charset val="128"/>
      </rPr>
      <t>ＴＲ</t>
    </r>
    <phoneticPr fontId="3"/>
  </si>
  <si>
    <r>
      <t>Ｒ-</t>
    </r>
    <r>
      <rPr>
        <sz val="8"/>
        <rFont val="ＭＳ Ｐゴシック"/>
        <family val="3"/>
        <charset val="128"/>
      </rPr>
      <t>ｎ１</t>
    </r>
    <phoneticPr fontId="3"/>
  </si>
  <si>
    <r>
      <t>Ｒ-</t>
    </r>
    <r>
      <rPr>
        <sz val="8"/>
        <rFont val="ＭＳ Ｐゴシック"/>
        <family val="3"/>
        <charset val="128"/>
      </rPr>
      <t>ｎ１’</t>
    </r>
    <phoneticPr fontId="3"/>
  </si>
  <si>
    <r>
      <t>R-</t>
    </r>
    <r>
      <rPr>
        <sz val="8"/>
        <rFont val="ＭＳ Ｐゴシック"/>
        <family val="3"/>
        <charset val="128"/>
      </rPr>
      <t>C2n</t>
    </r>
    <phoneticPr fontId="3"/>
  </si>
  <si>
    <r>
      <t>Ｒ-</t>
    </r>
    <r>
      <rPr>
        <sz val="8"/>
        <rFont val="ＭＳ Ｐゴシック"/>
        <family val="3"/>
        <charset val="128"/>
      </rPr>
      <t>ｎ３</t>
    </r>
    <phoneticPr fontId="3"/>
  </si>
  <si>
    <r>
      <t>Ｒ-</t>
    </r>
    <r>
      <rPr>
        <sz val="8"/>
        <rFont val="ＭＳ Ｐゴシック"/>
        <family val="3"/>
        <charset val="128"/>
      </rPr>
      <t>ｎ４</t>
    </r>
    <r>
      <rPr>
        <sz val="10"/>
        <rFont val="ＭＳ Ｐゴシック"/>
        <family val="3"/>
        <charset val="128"/>
      </rPr>
      <t>’</t>
    </r>
    <phoneticPr fontId="3"/>
  </si>
  <si>
    <r>
      <t>Ｒ-</t>
    </r>
    <r>
      <rPr>
        <sz val="8"/>
        <rFont val="ＭＳ Ｐゴシック"/>
        <family val="3"/>
        <charset val="128"/>
      </rPr>
      <t>０２</t>
    </r>
    <phoneticPr fontId="3"/>
  </si>
  <si>
    <r>
      <t>Ｅ</t>
    </r>
    <r>
      <rPr>
        <sz val="8"/>
        <rFont val="ＭＳ Ｐゴシック"/>
        <family val="3"/>
        <charset val="128"/>
      </rPr>
      <t>S</t>
    </r>
    <phoneticPr fontId="3"/>
  </si>
  <si>
    <t>Ｅ-K20</t>
    <phoneticPr fontId="3"/>
  </si>
  <si>
    <t>[KW]</t>
    <phoneticPr fontId="3"/>
  </si>
  <si>
    <t>η</t>
    <phoneticPr fontId="3"/>
  </si>
  <si>
    <t>cosφ</t>
    <phoneticPr fontId="3"/>
  </si>
  <si>
    <t>[KVA]</t>
    <phoneticPr fontId="3"/>
  </si>
  <si>
    <t>Ｄｆ</t>
    <phoneticPr fontId="3"/>
  </si>
  <si>
    <t>[A]</t>
    <phoneticPr fontId="3"/>
  </si>
  <si>
    <r>
      <t>Ｘ</t>
    </r>
    <r>
      <rPr>
        <sz val="6"/>
        <rFont val="ＭＳ Ｐゴシック"/>
        <family val="3"/>
        <charset val="128"/>
      </rPr>
      <t xml:space="preserve"> Ｌ</t>
    </r>
    <r>
      <rPr>
        <sz val="10"/>
        <rFont val="ＭＳ Ｐゴシック"/>
        <family val="3"/>
        <charset val="128"/>
      </rPr>
      <t xml:space="preserve"> </t>
    </r>
    <r>
      <rPr>
        <sz val="10"/>
        <rFont val="ＭＳ Ｐ明朝"/>
        <family val="1"/>
        <charset val="128"/>
      </rPr>
      <t>[Ω]</t>
    </r>
    <phoneticPr fontId="3"/>
  </si>
  <si>
    <r>
      <t>Z</t>
    </r>
    <r>
      <rPr>
        <sz val="6"/>
        <rFont val="ＭＳ Ｐゴシック"/>
        <family val="3"/>
        <charset val="128"/>
      </rPr>
      <t>ｎ１</t>
    </r>
    <r>
      <rPr>
        <sz val="10"/>
        <rFont val="ＭＳ Ｐゴシック"/>
        <family val="3"/>
        <charset val="128"/>
      </rPr>
      <t>（</t>
    </r>
    <r>
      <rPr>
        <b/>
        <sz val="10"/>
        <rFont val="ＭＳ Ｐゴシック"/>
        <family val="3"/>
        <charset val="128"/>
      </rPr>
      <t>Ｌ</t>
    </r>
    <r>
      <rPr>
        <sz val="6"/>
        <rFont val="ＭＳ Ｐゴシック"/>
        <family val="3"/>
        <charset val="128"/>
      </rPr>
      <t>ｎ</t>
    </r>
    <r>
      <rPr>
        <sz val="10"/>
        <rFont val="ＭＳ Ｐゴシック"/>
        <family val="3"/>
        <charset val="128"/>
      </rPr>
      <t>＋</t>
    </r>
    <r>
      <rPr>
        <b/>
        <sz val="10"/>
        <rFont val="ＭＳ Ｐゴシック"/>
        <family val="3"/>
        <charset val="128"/>
      </rPr>
      <t>Ｃ</t>
    </r>
    <r>
      <rPr>
        <sz val="6"/>
        <rFont val="ＭＳ Ｐゴシック"/>
        <family val="3"/>
        <charset val="128"/>
      </rPr>
      <t>Ｌｎ</t>
    </r>
    <r>
      <rPr>
        <sz val="10"/>
        <rFont val="ＭＳ Ｐゴシック"/>
        <family val="3"/>
        <charset val="128"/>
      </rPr>
      <t>）</t>
    </r>
    <phoneticPr fontId="3"/>
  </si>
  <si>
    <t>-ＡＦ</t>
    <phoneticPr fontId="3"/>
  </si>
  <si>
    <t>-ＡＴ</t>
    <phoneticPr fontId="3"/>
  </si>
  <si>
    <r>
      <t>3</t>
    </r>
    <r>
      <rPr>
        <sz val="11"/>
        <rFont val="ＭＳ Ｐゴシック"/>
        <family val="3"/>
        <charset val="128"/>
      </rPr>
      <t>φ</t>
    </r>
    <r>
      <rPr>
        <sz val="11"/>
        <rFont val="ＭＳ Ｐゴシック"/>
        <family val="3"/>
        <charset val="128"/>
      </rPr>
      <t>-X</t>
    </r>
    <phoneticPr fontId="3"/>
  </si>
  <si>
    <r>
      <t>Ｘ-</t>
    </r>
    <r>
      <rPr>
        <sz val="8"/>
        <rFont val="ＭＳ Ｐゴシック"/>
        <family val="3"/>
        <charset val="128"/>
      </rPr>
      <t>ＴＲ</t>
    </r>
    <phoneticPr fontId="3"/>
  </si>
  <si>
    <r>
      <t>Ｘ-</t>
    </r>
    <r>
      <rPr>
        <sz val="8"/>
        <rFont val="ＭＳ Ｐゴシック"/>
        <family val="3"/>
        <charset val="128"/>
      </rPr>
      <t>ｎ１</t>
    </r>
    <phoneticPr fontId="3"/>
  </si>
  <si>
    <r>
      <t>Ｘ-</t>
    </r>
    <r>
      <rPr>
        <sz val="8"/>
        <rFont val="ＭＳ Ｐゴシック"/>
        <family val="3"/>
        <charset val="128"/>
      </rPr>
      <t>ｎ１’</t>
    </r>
    <phoneticPr fontId="3"/>
  </si>
  <si>
    <r>
      <t>X-</t>
    </r>
    <r>
      <rPr>
        <sz val="8"/>
        <rFont val="ＭＳ Ｐゴシック"/>
        <family val="3"/>
        <charset val="128"/>
      </rPr>
      <t>C2n</t>
    </r>
    <phoneticPr fontId="3"/>
  </si>
  <si>
    <r>
      <t>Ｘ-</t>
    </r>
    <r>
      <rPr>
        <sz val="8"/>
        <rFont val="ＭＳ Ｐゴシック"/>
        <family val="3"/>
        <charset val="128"/>
      </rPr>
      <t>ｎ３</t>
    </r>
    <phoneticPr fontId="3"/>
  </si>
  <si>
    <r>
      <t>Ｘ-</t>
    </r>
    <r>
      <rPr>
        <sz val="8"/>
        <rFont val="ＭＳ Ｐゴシック"/>
        <family val="3"/>
        <charset val="128"/>
      </rPr>
      <t>ｎ４</t>
    </r>
    <r>
      <rPr>
        <sz val="10"/>
        <rFont val="ＭＳ Ｐゴシック"/>
        <family val="3"/>
        <charset val="128"/>
      </rPr>
      <t>’</t>
    </r>
    <phoneticPr fontId="3"/>
  </si>
  <si>
    <r>
      <t>Ｘ-</t>
    </r>
    <r>
      <rPr>
        <sz val="8"/>
        <rFont val="ＭＳ Ｐゴシック"/>
        <family val="3"/>
        <charset val="128"/>
      </rPr>
      <t>０２</t>
    </r>
    <phoneticPr fontId="3"/>
  </si>
  <si>
    <t>Hz-G22</t>
    <phoneticPr fontId="3"/>
  </si>
  <si>
    <t>コンセント</t>
    <phoneticPr fontId="38"/>
  </si>
  <si>
    <t>ケーブルラック</t>
    <phoneticPr fontId="38"/>
  </si>
  <si>
    <t>　＊＊＊＊＊＊＊＊＊＊</t>
    <phoneticPr fontId="38"/>
  </si>
  <si>
    <t xml:space="preserve">  K,Sakai</t>
    <phoneticPr fontId="38"/>
  </si>
  <si>
    <r>
      <t xml:space="preserve">Terminal voltage
</t>
    </r>
    <r>
      <rPr>
        <b/>
        <sz val="11"/>
        <rFont val="Times New Roman"/>
        <family val="1"/>
      </rPr>
      <t>Cover</t>
    </r>
    <phoneticPr fontId="3"/>
  </si>
  <si>
    <t/>
  </si>
  <si>
    <r>
      <t>Ｒ＝Ｋt･L／(1000･A)</t>
    </r>
    <r>
      <rPr>
        <sz val="7"/>
        <rFont val="メイリオ"/>
        <family val="3"/>
        <charset val="128"/>
      </rPr>
      <t xml:space="preserve"> </t>
    </r>
    <r>
      <rPr>
        <sz val="6"/>
        <rFont val="メイリオ"/>
        <family val="3"/>
        <charset val="128"/>
      </rPr>
      <t xml:space="preserve"> </t>
    </r>
    <r>
      <rPr>
        <sz val="8"/>
        <rFont val="メイリオ"/>
        <family val="3"/>
        <charset val="128"/>
      </rPr>
      <t>[Ω]</t>
    </r>
    <phoneticPr fontId="3"/>
  </si>
  <si>
    <r>
      <t>誤差</t>
    </r>
    <r>
      <rPr>
        <sz val="7"/>
        <rFont val="メイリオ"/>
        <family val="3"/>
        <charset val="128"/>
      </rPr>
      <t>[％]</t>
    </r>
    <rPh sb="0" eb="2">
      <t>ゴサ</t>
    </rPh>
    <phoneticPr fontId="3"/>
  </si>
  <si>
    <t>変圧器
負荷率</t>
    <rPh sb="0" eb="3">
      <t>ヘンアツキ</t>
    </rPh>
    <rPh sb="4" eb="6">
      <t>フカ</t>
    </rPh>
    <rPh sb="6" eb="7">
      <t>リツ</t>
    </rPh>
    <phoneticPr fontId="3"/>
  </si>
  <si>
    <t>変圧器
電圧変動率</t>
    <rPh sb="0" eb="3">
      <t>ヘンアツキ</t>
    </rPh>
    <rPh sb="4" eb="6">
      <t>デンアツ</t>
    </rPh>
    <rPh sb="6" eb="8">
      <t>ヘンドウ</t>
    </rPh>
    <rPh sb="8" eb="9">
      <t>リツ</t>
    </rPh>
    <phoneticPr fontId="3"/>
  </si>
  <si>
    <t>交流回路を直流電圧降下計算式で解析した場合の数値誤差</t>
    <rPh sb="5" eb="7">
      <t>チョクリュウ</t>
    </rPh>
    <rPh sb="7" eb="9">
      <t>デンアツ</t>
    </rPh>
    <rPh sb="9" eb="11">
      <t>コウカ</t>
    </rPh>
    <rPh sb="11" eb="13">
      <t>ケイサン</t>
    </rPh>
    <rPh sb="13" eb="14">
      <t>シキ</t>
    </rPh>
    <rPh sb="15" eb="17">
      <t>カイセキ</t>
    </rPh>
    <rPh sb="19" eb="21">
      <t>バアイ</t>
    </rPh>
    <rPh sb="22" eb="24">
      <t>スウチ</t>
    </rPh>
    <rPh sb="24" eb="26">
      <t>ゴサ</t>
    </rPh>
    <phoneticPr fontId="3"/>
  </si>
  <si>
    <t>■■■■■■■■■■■■■■■■■■■■■■■■■■■■■■■■■■■■■■■■■■■■■■■■■■■■■■■■■■■■■■■■■■■■■■■■■■■■■■■■■■■■■■■■■■■■■■■■■■■■</t>
    <phoneticPr fontId="3"/>
  </si>
  <si>
    <r>
      <rPr>
        <sz val="8.5"/>
        <rFont val="メイリオ"/>
        <family val="3"/>
        <charset val="128"/>
      </rPr>
      <t>需要率</t>
    </r>
    <r>
      <rPr>
        <sz val="7"/>
        <rFont val="メイリオ"/>
        <family val="3"/>
        <charset val="128"/>
      </rPr>
      <t xml:space="preserve"> Df</t>
    </r>
    <rPh sb="0" eb="2">
      <t>ジュヨウ</t>
    </rPh>
    <rPh sb="2" eb="3">
      <t>リツ</t>
    </rPh>
    <phoneticPr fontId="3"/>
  </si>
  <si>
    <t xml:space="preserve">  2002.12/26    Ver 2.07</t>
    <phoneticPr fontId="126"/>
  </si>
  <si>
    <t>交流回路を直流電圧降下計算式で解析した場合の数値誤差は、負荷側の電圧・電流・需要電力等で数パーセント以上の</t>
    <rPh sb="28" eb="31">
      <t>フカガワ</t>
    </rPh>
    <rPh sb="32" eb="34">
      <t>デンアツ</t>
    </rPh>
    <rPh sb="35" eb="37">
      <t>デンリュウ</t>
    </rPh>
    <rPh sb="38" eb="40">
      <t>ジュヨウ</t>
    </rPh>
    <rPh sb="40" eb="42">
      <t>デンリョク</t>
    </rPh>
    <rPh sb="42" eb="43">
      <t>トウ</t>
    </rPh>
    <rPh sb="44" eb="45">
      <t>スウ</t>
    </rPh>
    <rPh sb="50" eb="52">
      <t>イジョウ</t>
    </rPh>
    <phoneticPr fontId="3"/>
  </si>
  <si>
    <r>
      <t xml:space="preserve">誤差が出ます。実務上、交流回路を正しく把握するためには </t>
    </r>
    <r>
      <rPr>
        <b/>
        <sz val="9"/>
        <rFont val="メイリオ"/>
        <family val="3"/>
        <charset val="128"/>
      </rPr>
      <t>VD4</t>
    </r>
    <r>
      <rPr>
        <sz val="9"/>
        <rFont val="メイリオ"/>
        <family val="3"/>
        <charset val="128"/>
      </rPr>
      <t>・</t>
    </r>
    <r>
      <rPr>
        <b/>
        <sz val="9"/>
        <rFont val="メイリオ"/>
        <family val="3"/>
        <charset val="128"/>
      </rPr>
      <t>Load-List</t>
    </r>
    <r>
      <rPr>
        <sz val="9"/>
        <rFont val="メイリオ"/>
        <family val="3"/>
        <charset val="128"/>
      </rPr>
      <t xml:space="preserve"> 等による計算式が必要です。</t>
    </r>
    <rPh sb="0" eb="2">
      <t>ゴサ</t>
    </rPh>
    <rPh sb="3" eb="4">
      <t>デ</t>
    </rPh>
    <rPh sb="7" eb="9">
      <t>ジツム</t>
    </rPh>
    <rPh sb="9" eb="10">
      <t>ジョウ</t>
    </rPh>
    <rPh sb="11" eb="13">
      <t>コウリュウ</t>
    </rPh>
    <rPh sb="13" eb="15">
      <t>カイロ</t>
    </rPh>
    <rPh sb="16" eb="17">
      <t>タダ</t>
    </rPh>
    <rPh sb="19" eb="21">
      <t>ハアク</t>
    </rPh>
    <rPh sb="42" eb="43">
      <t>トウ</t>
    </rPh>
    <rPh sb="46" eb="48">
      <t>ケイサン</t>
    </rPh>
    <rPh sb="48" eb="49">
      <t>シキ</t>
    </rPh>
    <rPh sb="50" eb="52">
      <t>ヒツヨウ</t>
    </rPh>
    <phoneticPr fontId="3"/>
  </si>
  <si>
    <r>
      <t>TELEPHONE</t>
    </r>
    <r>
      <rPr>
        <sz val="8"/>
        <rFont val="ＭＳ Ｐ明朝"/>
        <family val="1"/>
        <charset val="128"/>
      </rPr>
      <t>：</t>
    </r>
    <phoneticPr fontId="3"/>
  </si>
  <si>
    <r>
      <t>FACSIMILE</t>
    </r>
    <r>
      <rPr>
        <sz val="8"/>
        <rFont val="ＭＳ Ｐ明朝"/>
        <family val="1"/>
        <charset val="128"/>
      </rPr>
      <t>：</t>
    </r>
    <phoneticPr fontId="3"/>
  </si>
  <si>
    <t>090-1981-7674</t>
    <phoneticPr fontId="3"/>
  </si>
  <si>
    <t>0744 -24- 8907</t>
    <phoneticPr fontId="3"/>
  </si>
  <si>
    <r>
      <t>Date</t>
    </r>
    <r>
      <rPr>
        <sz val="10"/>
        <rFont val="ＭＳ Ｐ明朝"/>
        <family val="1"/>
        <charset val="128"/>
      </rPr>
      <t xml:space="preserve"> :</t>
    </r>
    <phoneticPr fontId="3"/>
  </si>
  <si>
    <r>
      <t>Printout</t>
    </r>
    <r>
      <rPr>
        <sz val="10"/>
        <rFont val="ＭＳ Ｐ明朝"/>
        <family val="1"/>
        <charset val="128"/>
      </rPr>
      <t xml:space="preserve"> :</t>
    </r>
    <phoneticPr fontId="3"/>
  </si>
  <si>
    <t>変圧器
％Ｚ</t>
    <rPh sb="0" eb="3">
      <t>ヘンアツキ</t>
    </rPh>
    <phoneticPr fontId="3"/>
  </si>
  <si>
    <t>2017.12/18</t>
    <phoneticPr fontId="3"/>
  </si>
  <si>
    <t>　   ⇒</t>
    <phoneticPr fontId="3"/>
  </si>
  <si>
    <r>
      <rPr>
        <sz val="8"/>
        <color rgb="FF002060"/>
        <rFont val="メイリオ"/>
        <family val="3"/>
        <charset val="128"/>
      </rPr>
      <t>配線発熱ロス</t>
    </r>
    <r>
      <rPr>
        <sz val="8"/>
        <color rgb="FF002060"/>
        <rFont val="HG明朝B"/>
        <family val="1"/>
        <charset val="128"/>
      </rPr>
      <t>[Ｗ]
  ∑I</t>
    </r>
    <r>
      <rPr>
        <vertAlign val="superscript"/>
        <sz val="8"/>
        <color rgb="FF002060"/>
        <rFont val="HG明朝B"/>
        <family val="1"/>
        <charset val="128"/>
      </rPr>
      <t>2</t>
    </r>
    <r>
      <rPr>
        <sz val="8"/>
        <color rgb="FF002060"/>
        <rFont val="HG明朝B"/>
        <family val="1"/>
        <charset val="128"/>
      </rPr>
      <t>R     DmKW[％]</t>
    </r>
    <rPh sb="0" eb="2">
      <t>ハイセン</t>
    </rPh>
    <rPh sb="2" eb="4">
      <t>ハツネツ</t>
    </rPh>
    <phoneticPr fontId="3"/>
  </si>
  <si>
    <t>3φ3W</t>
  </si>
  <si>
    <t>油入自冷</t>
  </si>
  <si>
    <t>600V CE-T</t>
  </si>
  <si>
    <t>ケーブルラック</t>
  </si>
  <si>
    <t>600V CE-3C</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</si>
</sst>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176" formatCode="0&quot; KVA&quot;"/>
    <numFmt numFmtId="177" formatCode="0&quot; V&quot;"/>
    <numFmt numFmtId="178" formatCode="0&quot; Hz&quot;"/>
    <numFmt numFmtId="179" formatCode="0&quot;[℃]&quot;"/>
    <numFmt numFmtId="180" formatCode="0.0000_ "/>
    <numFmt numFmtId="181" formatCode="0.00&quot; KW&quot;"/>
    <numFmt numFmtId="182" formatCode="0.00;[Red]0.00"/>
    <numFmt numFmtId="183" formatCode="0.0;[Red]0.0"/>
    <numFmt numFmtId="184" formatCode="0_ ;[Red]\-0\ "/>
    <numFmt numFmtId="185" formatCode="0.00_ "/>
    <numFmt numFmtId="186" formatCode="0.000_);[Red]\(0.000\)"/>
    <numFmt numFmtId="187" formatCode="0.0_ ;[Red]\-0.0\ "/>
    <numFmt numFmtId="188" formatCode="0.0000_);[Red]\(0.0000\)"/>
    <numFmt numFmtId="189" formatCode="0.00_);[Red]\(0.00\)"/>
    <numFmt numFmtId="190" formatCode="####&quot;[℃]&quot;"/>
    <numFmt numFmtId="191" formatCode="0.000_ ;[Red]\-0.000\ "/>
    <numFmt numFmtId="192" formatCode="0.0000_ ;[Red]\-0.0000\ "/>
    <numFmt numFmtId="193" formatCode="#.#0\ &quot;[V]　&quot;"/>
    <numFmt numFmtId="194" formatCode="#.#0\ &quot;[A]　&quot;"/>
    <numFmt numFmtId="195" formatCode="0.00000;[Red]0.00000"/>
    <numFmt numFmtId="196" formatCode="0.00_ ;[Red]\-0.00\ "/>
    <numFmt numFmtId="197" formatCode="0.000;[Red]0.000"/>
    <numFmt numFmtId="198" formatCode="0.###0\ &quot;[％]&quot;"/>
    <numFmt numFmtId="199" formatCode="#.#0\ &quot;[Hz]&quot;"/>
    <numFmt numFmtId="200" formatCode="#.#0\ \ &quot;[KVA]&quot;"/>
    <numFmt numFmtId="201" formatCode="0.0_ "/>
    <numFmt numFmtId="202" formatCode="0.0&quot;[m]&quot;"/>
    <numFmt numFmtId="203" formatCode="###.#0\ &quot;[℃]&quot;;[Red]\-###.#0\ &quot;[℃]&quot;"/>
    <numFmt numFmtId="204" formatCode="#.#\ &quot;[A]　&quot;"/>
    <numFmt numFmtId="205" formatCode="0.###0\ &quot;+ j&quot;"/>
    <numFmt numFmtId="206" formatCode="0.0000\ &quot;[mΩ]&quot;"/>
    <numFmt numFmtId="207" formatCode="0.0000\ &quot;[Ω] &quot;"/>
    <numFmt numFmtId="208" formatCode="0;[Red]0"/>
    <numFmt numFmtId="209" formatCode="0\ &quot;[A] &quot;"/>
    <numFmt numFmtId="210" formatCode="0.0000;[Red]0.0000"/>
    <numFmt numFmtId="211" formatCode="0_);[Red]\(0\)"/>
    <numFmt numFmtId="212" formatCode="##&quot;[Hz]&quot;"/>
    <numFmt numFmtId="213" formatCode="0_ "/>
    <numFmt numFmtId="214" formatCode="####&quot;[V]&quot;"/>
    <numFmt numFmtId="215" formatCode="0.E+00"/>
    <numFmt numFmtId="216" formatCode="0.000_ "/>
    <numFmt numFmtId="217" formatCode="0.00&quot; [KW]　&quot;"/>
    <numFmt numFmtId="218" formatCode="0.#0\ &quot;％&quot;"/>
  </numFmts>
  <fonts count="193"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u/>
      <sz val="11"/>
      <name val="ＭＳ 明朝"/>
      <family val="1"/>
      <charset val="128"/>
    </font>
    <font>
      <i/>
      <sz val="10"/>
      <name val="ＭＳ Ｐ明朝"/>
      <family val="1"/>
      <charset val="128"/>
    </font>
    <font>
      <b/>
      <i/>
      <sz val="11"/>
      <name val="ＭＳ Ｐ明朝"/>
      <family val="1"/>
      <charset val="128"/>
    </font>
    <font>
      <sz val="10"/>
      <name val="ＭＳ 明朝"/>
      <family val="1"/>
      <charset val="128"/>
    </font>
    <font>
      <sz val="10"/>
      <name val="ＭＳ ゴシック"/>
      <family val="3"/>
      <charset val="128"/>
    </font>
    <font>
      <sz val="10"/>
      <name val="Meiryo UI"/>
      <family val="3"/>
      <charset val="128"/>
    </font>
    <font>
      <b/>
      <sz val="11"/>
      <color rgb="FF0070C0"/>
      <name val="Times New Roman"/>
      <family val="1"/>
    </font>
    <font>
      <b/>
      <i/>
      <sz val="10"/>
      <color indexed="12"/>
      <name val="ＭＳ Ｐ明朝"/>
      <family val="1"/>
      <charset val="128"/>
    </font>
    <font>
      <sz val="9"/>
      <name val="Times New Roman"/>
      <family val="1"/>
    </font>
    <font>
      <sz val="9"/>
      <name val="ＭＳ 明朝"/>
      <family val="1"/>
      <charset val="128"/>
    </font>
    <font>
      <sz val="8"/>
      <name val="Times New Roman"/>
      <family val="1"/>
    </font>
    <font>
      <b/>
      <sz val="9"/>
      <name val="Times New Roman"/>
      <family val="1"/>
    </font>
    <font>
      <i/>
      <sz val="8"/>
      <name val="Meiryo UI"/>
      <family val="3"/>
      <charset val="128"/>
    </font>
    <font>
      <b/>
      <i/>
      <sz val="8"/>
      <name val="Meiryo UI"/>
      <family val="3"/>
      <charset val="128"/>
    </font>
    <font>
      <sz val="5"/>
      <color indexed="12"/>
      <name val="ＭＳ Ｐゴシック"/>
      <family val="3"/>
      <charset val="128"/>
    </font>
    <font>
      <b/>
      <sz val="11"/>
      <name val="メイリオ"/>
      <family val="3"/>
      <charset val="128"/>
    </font>
    <font>
      <sz val="9"/>
      <name val="メイリオ"/>
      <family val="3"/>
      <charset val="128"/>
    </font>
    <font>
      <b/>
      <sz val="12"/>
      <name val="メイリオ"/>
      <family val="3"/>
      <charset val="128"/>
    </font>
    <font>
      <sz val="10"/>
      <name val="Times New Roman"/>
      <family val="1"/>
    </font>
    <font>
      <sz val="8"/>
      <name val="メイリオ"/>
      <family val="3"/>
      <charset val="128"/>
    </font>
    <font>
      <b/>
      <sz val="8"/>
      <name val="Times New Roman"/>
      <family val="1"/>
    </font>
    <font>
      <b/>
      <sz val="8"/>
      <name val="HGP明朝B"/>
      <family val="1"/>
      <charset val="128"/>
    </font>
    <font>
      <b/>
      <sz val="9"/>
      <color theme="8" tint="-0.499984740745262"/>
      <name val="HG明朝B"/>
      <family val="1"/>
      <charset val="128"/>
    </font>
    <font>
      <sz val="8.5"/>
      <name val="メイリオ"/>
      <family val="3"/>
      <charset val="128"/>
    </font>
    <font>
      <sz val="8"/>
      <color theme="5"/>
      <name val="メイリオ"/>
      <family val="3"/>
      <charset val="128"/>
    </font>
    <font>
      <sz val="9"/>
      <name val="Meiryo UI"/>
      <family val="3"/>
      <charset val="128"/>
    </font>
    <font>
      <b/>
      <sz val="9"/>
      <color rgb="FF002060"/>
      <name val="HGP明朝B"/>
      <family val="1"/>
      <charset val="128"/>
    </font>
    <font>
      <sz val="8"/>
      <name val="Meiryo UI"/>
      <family val="3"/>
      <charset val="128"/>
    </font>
    <font>
      <b/>
      <sz val="9"/>
      <color rgb="FF002060"/>
      <name val="HG明朝B"/>
      <family val="1"/>
      <charset val="128"/>
    </font>
    <font>
      <sz val="9"/>
      <color rgb="FF002060"/>
      <name val="HG明朝B"/>
      <family val="1"/>
      <charset val="128"/>
    </font>
    <font>
      <b/>
      <sz val="8"/>
      <color rgb="FF002060"/>
      <name val="メイリオ"/>
      <family val="3"/>
      <charset val="128"/>
    </font>
    <font>
      <b/>
      <sz val="14"/>
      <color rgb="FF002060"/>
      <name val="HG明朝B"/>
      <family val="1"/>
      <charset val="128"/>
    </font>
    <font>
      <sz val="10"/>
      <name val="ＭＳ Ｐゴシック"/>
      <family val="3"/>
      <charset val="128"/>
    </font>
    <font>
      <sz val="11"/>
      <color indexed="55"/>
      <name val="ＭＳ Ｐゴシック"/>
      <family val="3"/>
      <charset val="128"/>
    </font>
    <font>
      <b/>
      <vertAlign val="superscript"/>
      <sz val="16"/>
      <name val="ＭＳ Ｐゴシック"/>
      <family val="3"/>
      <charset val="128"/>
    </font>
    <font>
      <sz val="12"/>
      <color indexed="9"/>
      <name val="ＭＳ Ｐゴシック"/>
      <family val="3"/>
      <charset val="128"/>
    </font>
    <font>
      <sz val="12"/>
      <color indexed="9"/>
      <name val="ＭＳ Ｐ明朝"/>
      <family val="1"/>
      <charset val="128"/>
    </font>
    <font>
      <sz val="11"/>
      <name val="ＭＳ ゴシック"/>
      <family val="3"/>
      <charset val="128"/>
    </font>
    <font>
      <b/>
      <sz val="9"/>
      <name val="ＭＳ Ｐゴシック"/>
      <family val="3"/>
      <charset val="128"/>
    </font>
    <font>
      <sz val="10"/>
      <name val="ＭＳ Ｐ明朝"/>
      <family val="1"/>
      <charset val="128"/>
    </font>
    <font>
      <sz val="6"/>
      <name val="ＭＳ Ｐ明朝"/>
      <family val="1"/>
      <charset val="128"/>
    </font>
    <font>
      <b/>
      <sz val="10"/>
      <name val="ＭＳ Ｐゴシック"/>
      <family val="3"/>
      <charset val="128"/>
    </font>
    <font>
      <sz val="9"/>
      <name val="ＭＳ Ｐゴシック"/>
      <family val="3"/>
      <charset val="128"/>
    </font>
    <font>
      <b/>
      <sz val="10"/>
      <name val="ＭＳ Ｐ明朝"/>
      <family val="1"/>
      <charset val="128"/>
    </font>
    <font>
      <b/>
      <sz val="9"/>
      <name val="ＭＳ Ｐ明朝"/>
      <family val="1"/>
      <charset val="128"/>
    </font>
    <font>
      <sz val="10"/>
      <color indexed="12"/>
      <name val="ＭＳ Ｐゴシック"/>
      <family val="3"/>
      <charset val="128"/>
    </font>
    <font>
      <sz val="10"/>
      <color indexed="12"/>
      <name val="ＭＳ ゴシック"/>
      <family val="3"/>
      <charset val="128"/>
    </font>
    <font>
      <sz val="9"/>
      <color indexed="12"/>
      <name val="ＭＳ Ｐゴシック"/>
      <family val="3"/>
      <charset val="128"/>
    </font>
    <font>
      <sz val="10"/>
      <color indexed="12"/>
      <name val="ＭＳ 明朝"/>
      <family val="1"/>
      <charset val="128"/>
    </font>
    <font>
      <sz val="10"/>
      <color indexed="12"/>
      <name val="ＭＳ Ｐ明朝"/>
      <family val="1"/>
      <charset val="128"/>
    </font>
    <font>
      <sz val="11"/>
      <name val="ＭＳ 明朝"/>
      <family val="1"/>
      <charset val="128"/>
    </font>
    <font>
      <b/>
      <sz val="14"/>
      <name val="ＭＳ ゴシック"/>
      <family val="3"/>
      <charset val="128"/>
    </font>
    <font>
      <u/>
      <sz val="11"/>
      <color indexed="12"/>
      <name val="ＭＳ Ｐゴシック"/>
      <family val="3"/>
      <charset val="128"/>
    </font>
    <font>
      <b/>
      <sz val="20"/>
      <color indexed="12"/>
      <name val="ＭＳ 明朝"/>
      <family val="1"/>
      <charset val="128"/>
    </font>
    <font>
      <b/>
      <sz val="16"/>
      <color indexed="12"/>
      <name val="ＭＳ 明朝"/>
      <family val="1"/>
      <charset val="128"/>
    </font>
    <font>
      <sz val="11"/>
      <color indexed="81"/>
      <name val="ＭＳ 明朝"/>
      <family val="1"/>
      <charset val="128"/>
    </font>
    <font>
      <sz val="11"/>
      <color indexed="81"/>
      <name val="ＭＳ Ｐゴシック"/>
      <family val="3"/>
      <charset val="128"/>
    </font>
    <font>
      <sz val="16"/>
      <color indexed="47"/>
      <name val="ＭＳ Ｐゴシック"/>
      <family val="3"/>
      <charset val="128"/>
    </font>
    <font>
      <sz val="16"/>
      <color indexed="44"/>
      <name val="ＭＳ Ｐゴシック"/>
      <family val="3"/>
      <charset val="128"/>
    </font>
    <font>
      <sz val="16"/>
      <color indexed="26"/>
      <name val="ＭＳ Ｐゴシック"/>
      <family val="3"/>
      <charset val="128"/>
    </font>
    <font>
      <sz val="11"/>
      <color indexed="43"/>
      <name val="ＭＳ Ｐゴシック"/>
      <family val="3"/>
      <charset val="128"/>
    </font>
    <font>
      <sz val="16"/>
      <color indexed="43"/>
      <name val="ＭＳ Ｐゴシック"/>
      <family val="3"/>
      <charset val="128"/>
    </font>
    <font>
      <sz val="10"/>
      <color indexed="81"/>
      <name val="ＭＳ Ｐゴシック"/>
      <family val="3"/>
      <charset val="128"/>
    </font>
    <font>
      <sz val="16"/>
      <color indexed="9"/>
      <name val="ＭＳ Ｐゴシック"/>
      <family val="3"/>
      <charset val="128"/>
    </font>
    <font>
      <sz val="16"/>
      <color indexed="81"/>
      <name val="ＭＳ Ｐゴシック"/>
      <family val="3"/>
      <charset val="128"/>
    </font>
    <font>
      <b/>
      <sz val="11"/>
      <color indexed="81"/>
      <name val="ＭＳ Ｐゴシック"/>
      <family val="3"/>
      <charset val="128"/>
    </font>
    <font>
      <b/>
      <sz val="11"/>
      <color indexed="10"/>
      <name val="ＭＳ Ｐゴシック"/>
      <family val="3"/>
      <charset val="128"/>
    </font>
    <font>
      <sz val="10"/>
      <color indexed="14"/>
      <name val="ＭＳ Ｐゴシック"/>
      <family val="3"/>
      <charset val="128"/>
    </font>
    <font>
      <sz val="10"/>
      <color indexed="10"/>
      <name val="ＭＳ Ｐゴシック"/>
      <family val="3"/>
      <charset val="128"/>
    </font>
    <font>
      <b/>
      <sz val="9"/>
      <color indexed="81"/>
      <name val="ＭＳ ゴシック"/>
      <family val="3"/>
      <charset val="128"/>
    </font>
    <font>
      <sz val="10"/>
      <color indexed="81"/>
      <name val="ＭＳ ゴシック"/>
      <family val="3"/>
      <charset val="128"/>
    </font>
    <font>
      <b/>
      <sz val="10"/>
      <color indexed="81"/>
      <name val="ＭＳ Ｐゴシック"/>
      <family val="3"/>
      <charset val="128"/>
    </font>
    <font>
      <sz val="9"/>
      <color indexed="81"/>
      <name val="ＭＳ Ｐゴシック"/>
      <family val="3"/>
      <charset val="128"/>
    </font>
    <font>
      <b/>
      <sz val="16"/>
      <color indexed="10"/>
      <name val="ＭＳ Ｐゴシック"/>
      <family val="3"/>
      <charset val="128"/>
    </font>
    <font>
      <b/>
      <sz val="11"/>
      <color indexed="12"/>
      <name val="ＭＳ ゴシック"/>
      <family val="3"/>
      <charset val="128"/>
    </font>
    <font>
      <b/>
      <sz val="14"/>
      <color indexed="10"/>
      <name val="ＭＳ Ｐゴシック"/>
      <family val="3"/>
      <charset val="128"/>
    </font>
    <font>
      <b/>
      <sz val="11"/>
      <color indexed="10"/>
      <name val="ＭＳ ゴシック"/>
      <family val="3"/>
      <charset val="128"/>
    </font>
    <font>
      <sz val="11"/>
      <color indexed="8"/>
      <name val="ＭＳ Ｐゴシック"/>
      <family val="3"/>
      <charset val="128"/>
    </font>
    <font>
      <b/>
      <sz val="10"/>
      <color indexed="10"/>
      <name val="ＭＳ Ｐゴシック"/>
      <family val="3"/>
      <charset val="128"/>
    </font>
    <font>
      <sz val="11"/>
      <color indexed="81"/>
      <name val="ＭＳ ゴシック"/>
      <family val="3"/>
      <charset val="128"/>
    </font>
    <font>
      <sz val="11"/>
      <color indexed="12"/>
      <name val="ＭＳ ゴシック"/>
      <family val="3"/>
      <charset val="128"/>
    </font>
    <font>
      <b/>
      <sz val="11"/>
      <color indexed="12"/>
      <name val="ＭＳ Ｐゴシック"/>
      <family val="3"/>
      <charset val="128"/>
    </font>
    <font>
      <b/>
      <sz val="11"/>
      <color indexed="14"/>
      <name val="ＭＳ Ｐゴシック"/>
      <family val="3"/>
      <charset val="128"/>
    </font>
    <font>
      <b/>
      <sz val="9"/>
      <color indexed="81"/>
      <name val="ＭＳ Ｐゴシック"/>
      <family val="3"/>
      <charset val="128"/>
    </font>
    <font>
      <sz val="18"/>
      <color indexed="81"/>
      <name val="ＭＳ Ｐゴシック"/>
      <family val="3"/>
      <charset val="128"/>
    </font>
    <font>
      <b/>
      <sz val="12"/>
      <color indexed="10"/>
      <name val="ＭＳ Ｐゴシック"/>
      <family val="3"/>
      <charset val="128"/>
    </font>
    <font>
      <sz val="14"/>
      <color indexed="81"/>
      <name val="ＭＳ Ｐゴシック"/>
      <family val="3"/>
      <charset val="128"/>
    </font>
    <font>
      <b/>
      <sz val="10"/>
      <color indexed="12"/>
      <name val="ＭＳ Ｐゴシック"/>
      <family val="3"/>
      <charset val="128"/>
    </font>
    <font>
      <sz val="9"/>
      <color indexed="14"/>
      <name val="ＭＳ Ｐゴシック"/>
      <family val="3"/>
      <charset val="128"/>
    </font>
    <font>
      <sz val="16"/>
      <color indexed="8"/>
      <name val="ＭＳ Ｐゴシック"/>
      <family val="3"/>
      <charset val="128"/>
    </font>
    <font>
      <b/>
      <sz val="11"/>
      <color indexed="8"/>
      <name val="ＭＳ Ｐゴシック"/>
      <family val="3"/>
      <charset val="128"/>
    </font>
    <font>
      <sz val="18"/>
      <color indexed="8"/>
      <name val="ＭＳ ゴシック"/>
      <family val="3"/>
      <charset val="128"/>
    </font>
    <font>
      <sz val="9"/>
      <color indexed="12"/>
      <name val="ＭＳ ゴシック"/>
      <family val="3"/>
      <charset val="128"/>
    </font>
    <font>
      <sz val="16"/>
      <color indexed="81"/>
      <name val="ＭＳ ゴシック"/>
      <family val="3"/>
      <charset val="128"/>
    </font>
    <font>
      <b/>
      <sz val="16"/>
      <color indexed="12"/>
      <name val="ＭＳ ゴシック"/>
      <family val="3"/>
      <charset val="128"/>
    </font>
    <font>
      <b/>
      <sz val="12"/>
      <color indexed="12"/>
      <name val="ＭＳ Ｐゴシック"/>
      <family val="3"/>
      <charset val="128"/>
    </font>
    <font>
      <sz val="16"/>
      <color indexed="10"/>
      <name val="ＭＳ Ｐゴシック"/>
      <family val="3"/>
      <charset val="128"/>
    </font>
    <font>
      <b/>
      <sz val="9"/>
      <color indexed="12"/>
      <name val="ＭＳ Ｐゴシック"/>
      <family val="3"/>
      <charset val="128"/>
    </font>
    <font>
      <sz val="8"/>
      <color indexed="12"/>
      <name val="ＭＳ Ｐゴシック"/>
      <family val="3"/>
      <charset val="128"/>
    </font>
    <font>
      <b/>
      <sz val="1"/>
      <color indexed="81"/>
      <name val="ＭＳ Ｐゴシック"/>
      <family val="3"/>
      <charset val="128"/>
    </font>
    <font>
      <b/>
      <sz val="16"/>
      <color indexed="81"/>
      <name val="ＭＳ Ｐゴシック"/>
      <family val="3"/>
      <charset val="128"/>
    </font>
    <font>
      <sz val="18"/>
      <color indexed="14"/>
      <name val="ＭＳ Ｐゴシック"/>
      <family val="3"/>
      <charset val="128"/>
    </font>
    <font>
      <sz val="9"/>
      <color indexed="10"/>
      <name val="ＭＳ Ｐゴシック"/>
      <family val="3"/>
      <charset val="128"/>
    </font>
    <font>
      <b/>
      <sz val="18"/>
      <color indexed="12"/>
      <name val="ＭＳ Ｐゴシック"/>
      <family val="3"/>
      <charset val="128"/>
    </font>
    <font>
      <sz val="11"/>
      <color indexed="14"/>
      <name val="ＭＳ Ｐゴシック"/>
      <family val="3"/>
      <charset val="128"/>
    </font>
    <font>
      <sz val="14"/>
      <color indexed="10"/>
      <name val="ＭＳ Ｐゴシック"/>
      <family val="3"/>
      <charset val="128"/>
    </font>
    <font>
      <sz val="18"/>
      <color indexed="10"/>
      <name val="ＭＳ Ｐゴシック"/>
      <family val="3"/>
      <charset val="128"/>
    </font>
    <font>
      <b/>
      <sz val="16"/>
      <color indexed="12"/>
      <name val="ＭＳ Ｐゴシック"/>
      <family val="3"/>
      <charset val="128"/>
    </font>
    <font>
      <b/>
      <sz val="14"/>
      <color indexed="12"/>
      <name val="ＭＳ Ｐゴシック"/>
      <family val="3"/>
      <charset val="128"/>
    </font>
    <font>
      <b/>
      <sz val="8"/>
      <color indexed="12"/>
      <name val="ＭＳ Ｐゴシック"/>
      <family val="3"/>
      <charset val="128"/>
    </font>
    <font>
      <sz val="14"/>
      <name val="ＭＳ Ｐゴシック"/>
      <family val="3"/>
      <charset val="128"/>
    </font>
    <font>
      <sz val="12"/>
      <color indexed="12"/>
      <name val="ＭＳ Ｐゴシック"/>
      <family val="3"/>
      <charset val="128"/>
    </font>
    <font>
      <sz val="11"/>
      <color indexed="12"/>
      <name val="ＭＳ Ｐゴシック"/>
      <family val="3"/>
      <charset val="128"/>
    </font>
    <font>
      <sz val="11"/>
      <color indexed="10"/>
      <name val="ＭＳ Ｐゴシック"/>
      <family val="3"/>
      <charset val="128"/>
    </font>
    <font>
      <b/>
      <sz val="11"/>
      <name val="ＭＳ Ｐゴシック"/>
      <family val="3"/>
      <charset val="128"/>
    </font>
    <font>
      <b/>
      <sz val="20"/>
      <color indexed="81"/>
      <name val="ＭＳ Ｐゴシック"/>
      <family val="3"/>
      <charset val="128"/>
    </font>
    <font>
      <b/>
      <sz val="20"/>
      <color indexed="10"/>
      <name val="ＭＳ Ｐゴシック"/>
      <family val="3"/>
      <charset val="128"/>
    </font>
    <font>
      <sz val="2"/>
      <color indexed="10"/>
      <name val="ＭＳ Ｐゴシック"/>
      <family val="3"/>
      <charset val="128"/>
    </font>
    <font>
      <sz val="3"/>
      <color indexed="10"/>
      <name val="ＭＳ Ｐゴシック"/>
      <family val="3"/>
      <charset val="128"/>
    </font>
    <font>
      <sz val="11"/>
      <color theme="8" tint="0.79998168889431442"/>
      <name val="メイリオ"/>
      <family val="3"/>
      <charset val="128"/>
    </font>
    <font>
      <sz val="9"/>
      <color theme="0"/>
      <name val="メイリオ"/>
      <family val="3"/>
      <charset val="128"/>
    </font>
    <font>
      <sz val="11"/>
      <color theme="9" tint="0.79998168889431442"/>
      <name val="メイリオ"/>
      <family val="3"/>
      <charset val="128"/>
    </font>
    <font>
      <sz val="6"/>
      <name val="ＭＳ 明朝"/>
      <family val="1"/>
      <charset val="128"/>
    </font>
    <font>
      <sz val="9"/>
      <name val="ＭＳ ゴシック"/>
      <family val="3"/>
      <charset val="128"/>
    </font>
    <font>
      <sz val="7"/>
      <name val="ＭＳ 明朝"/>
      <family val="1"/>
      <charset val="128"/>
    </font>
    <font>
      <b/>
      <sz val="18"/>
      <name val="ＭＳ Ｐ明朝"/>
      <family val="1"/>
      <charset val="128"/>
    </font>
    <font>
      <b/>
      <sz val="18"/>
      <name val="Times New Roman"/>
      <family val="1"/>
    </font>
    <font>
      <b/>
      <sz val="6"/>
      <name val="ＭＳ Ｐ明朝"/>
      <family val="1"/>
      <charset val="128"/>
    </font>
    <font>
      <b/>
      <sz val="10"/>
      <color indexed="12"/>
      <name val="ＭＳ Ｐ明朝"/>
      <family val="1"/>
      <charset val="128"/>
    </font>
    <font>
      <sz val="28"/>
      <name val="Times New Roman"/>
      <family val="1"/>
    </font>
    <font>
      <sz val="18"/>
      <name val="Times New Roman"/>
      <family val="1"/>
    </font>
    <font>
      <b/>
      <sz val="11"/>
      <color indexed="12"/>
      <name val="Times New Roman"/>
      <family val="1"/>
    </font>
    <font>
      <b/>
      <sz val="11"/>
      <color indexed="12"/>
      <name val="ＭＳ Ｐ明朝"/>
      <family val="1"/>
      <charset val="128"/>
    </font>
    <font>
      <b/>
      <sz val="11"/>
      <name val="ＭＳ Ｐ明朝"/>
      <family val="1"/>
      <charset val="128"/>
    </font>
    <font>
      <b/>
      <sz val="11"/>
      <name val="Times New Roman"/>
      <family val="1"/>
    </font>
    <font>
      <b/>
      <sz val="11"/>
      <color indexed="10"/>
      <name val="ＭＳ Ｐ明朝"/>
      <family val="1"/>
      <charset val="128"/>
    </font>
    <font>
      <sz val="9"/>
      <color indexed="10"/>
      <name val="ＭＳ 明朝"/>
      <family val="1"/>
      <charset val="128"/>
    </font>
    <font>
      <sz val="10"/>
      <color rgb="FF002060"/>
      <name val="ＭＳ ゴシック"/>
      <family val="3"/>
      <charset val="128"/>
    </font>
    <font>
      <sz val="9"/>
      <color rgb="FF002060"/>
      <name val="ＭＳ 明朝"/>
      <family val="1"/>
      <charset val="128"/>
    </font>
    <font>
      <sz val="10"/>
      <color rgb="FF0070C0"/>
      <name val="ＭＳ ゴシック"/>
      <family val="3"/>
      <charset val="128"/>
    </font>
    <font>
      <sz val="9"/>
      <color rgb="FF0070C0"/>
      <name val="ＭＳ 明朝"/>
      <family val="1"/>
      <charset val="128"/>
    </font>
    <font>
      <sz val="3"/>
      <name val="ＭＳ 明朝"/>
      <family val="1"/>
      <charset val="128"/>
    </font>
    <font>
      <sz val="4"/>
      <name val="ＭＳ 明朝"/>
      <family val="1"/>
      <charset val="128"/>
    </font>
    <font>
      <b/>
      <sz val="10"/>
      <color indexed="10"/>
      <name val="ＭＳ 明朝"/>
      <family val="1"/>
      <charset val="128"/>
    </font>
    <font>
      <b/>
      <sz val="11"/>
      <name val="ＭＳ ゴシック"/>
      <family val="3"/>
      <charset val="128"/>
    </font>
    <font>
      <sz val="11"/>
      <name val="ＭＳ Ｐ明朝"/>
      <family val="1"/>
      <charset val="128"/>
    </font>
    <font>
      <b/>
      <sz val="22"/>
      <name val="ＭＳ Ｐ明朝"/>
      <family val="1"/>
      <charset val="128"/>
    </font>
    <font>
      <b/>
      <sz val="10"/>
      <color indexed="81"/>
      <name val="ＭＳ Ｐ明朝"/>
      <family val="1"/>
      <charset val="128"/>
    </font>
    <font>
      <b/>
      <sz val="10"/>
      <color indexed="10"/>
      <name val="ＭＳ Ｐ明朝"/>
      <family val="1"/>
      <charset val="128"/>
    </font>
    <font>
      <b/>
      <sz val="14"/>
      <color indexed="81"/>
      <name val="ＭＳ Ｐ明朝"/>
      <family val="1"/>
      <charset val="128"/>
    </font>
    <font>
      <sz val="9"/>
      <color indexed="81"/>
      <name val="ＭＳ Ｐ明朝"/>
      <family val="1"/>
      <charset val="128"/>
    </font>
    <font>
      <sz val="9"/>
      <color indexed="12"/>
      <name val="ＭＳ Ｐ明朝"/>
      <family val="1"/>
      <charset val="128"/>
    </font>
    <font>
      <sz val="7"/>
      <name val="メイリオ"/>
      <family val="3"/>
      <charset val="128"/>
    </font>
    <font>
      <sz val="9"/>
      <name val="HG明朝B"/>
      <family val="1"/>
      <charset val="128"/>
    </font>
    <font>
      <b/>
      <sz val="8"/>
      <name val="メイリオ"/>
      <family val="3"/>
      <charset val="128"/>
    </font>
    <font>
      <b/>
      <sz val="8"/>
      <color theme="8" tint="-0.499984740745262"/>
      <name val="メイリオ"/>
      <family val="3"/>
      <charset val="128"/>
    </font>
    <font>
      <sz val="8"/>
      <name val="HGP明朝B"/>
      <family val="1"/>
      <charset val="128"/>
    </font>
    <font>
      <sz val="5"/>
      <color theme="0" tint="-0.499984740745262"/>
      <name val="メイリオ"/>
      <family val="3"/>
      <charset val="128"/>
    </font>
    <font>
      <sz val="9"/>
      <color theme="0"/>
      <name val="HG明朝B"/>
      <family val="1"/>
      <charset val="128"/>
    </font>
    <font>
      <sz val="8"/>
      <name val="ＭＳ Ｐゴシック"/>
      <family val="3"/>
      <charset val="128"/>
    </font>
    <font>
      <sz val="9"/>
      <color rgb="FFFF0000"/>
      <name val="ＭＳ Ｐ明朝"/>
      <family val="1"/>
      <charset val="128"/>
    </font>
    <font>
      <b/>
      <sz val="20"/>
      <name val="ＭＳ Ｐ明朝"/>
      <family val="1"/>
      <charset val="128"/>
    </font>
    <font>
      <b/>
      <sz val="20"/>
      <name val="ＭＳ 明朝"/>
      <family val="1"/>
      <charset val="128"/>
    </font>
    <font>
      <b/>
      <sz val="11"/>
      <name val="Arial Black"/>
      <family val="2"/>
    </font>
    <font>
      <b/>
      <sz val="10"/>
      <name val="ＭＳ ゴシック"/>
      <family val="3"/>
      <charset val="128"/>
    </font>
    <font>
      <b/>
      <sz val="12"/>
      <name val="ＭＳ Ｐ明朝"/>
      <family val="1"/>
      <charset val="128"/>
    </font>
    <font>
      <b/>
      <sz val="14"/>
      <name val="Times New Roman"/>
      <family val="1"/>
    </font>
    <font>
      <b/>
      <sz val="14"/>
      <name val="ＭＳ Ｐ明朝"/>
      <family val="1"/>
      <charset val="128"/>
    </font>
    <font>
      <b/>
      <sz val="16"/>
      <name val="Times New Roman"/>
      <family val="1"/>
    </font>
    <font>
      <b/>
      <sz val="13"/>
      <name val="Times New Roman"/>
      <family val="1"/>
    </font>
    <font>
      <b/>
      <i/>
      <sz val="12"/>
      <name val="ＭＳ 明朝"/>
      <family val="1"/>
      <charset val="128"/>
    </font>
    <font>
      <b/>
      <i/>
      <sz val="12"/>
      <name val="ＭＳ Ｐ明朝"/>
      <family val="1"/>
      <charset val="128"/>
    </font>
    <font>
      <b/>
      <sz val="2"/>
      <color indexed="81"/>
      <name val="ＭＳ Ｐゴシック"/>
      <family val="3"/>
      <charset val="128"/>
    </font>
    <font>
      <b/>
      <sz val="9"/>
      <color indexed="55"/>
      <name val="ＭＳ ゴシック"/>
      <family val="3"/>
      <charset val="128"/>
    </font>
    <font>
      <sz val="10"/>
      <color indexed="8"/>
      <name val="ＭＳ ゴシック"/>
      <family val="3"/>
      <charset val="128"/>
    </font>
    <font>
      <sz val="6"/>
      <name val="メイリオ"/>
      <family val="3"/>
      <charset val="128"/>
    </font>
    <font>
      <b/>
      <sz val="9"/>
      <name val="メイリオ"/>
      <family val="3"/>
      <charset val="128"/>
    </font>
    <font>
      <sz val="8"/>
      <color theme="0" tint="-0.14999847407452621"/>
      <name val="ＭＳ Ｐゴシック"/>
      <family val="3"/>
      <charset val="128"/>
    </font>
    <font>
      <sz val="8"/>
      <color theme="9" tint="-0.499984740745262"/>
      <name val="メイリオ"/>
      <family val="3"/>
      <charset val="128"/>
    </font>
    <font>
      <sz val="8"/>
      <name val="ＭＳ Ｐ明朝"/>
      <family val="1"/>
      <charset val="128"/>
    </font>
    <font>
      <b/>
      <sz val="8"/>
      <color rgb="FF0070C0"/>
      <name val="Times New Roman"/>
      <family val="1"/>
    </font>
    <font>
      <sz val="10"/>
      <color rgb="FF0070C0"/>
      <name val="HG明朝B"/>
      <family val="1"/>
      <charset val="128"/>
    </font>
    <font>
      <b/>
      <sz val="8.5"/>
      <color rgb="FF0070C0"/>
      <name val="HGP明朝B"/>
      <family val="1"/>
      <charset val="128"/>
    </font>
    <font>
      <b/>
      <sz val="8"/>
      <color rgb="FF0070C0"/>
      <name val="HGP明朝B"/>
      <family val="1"/>
      <charset val="128"/>
    </font>
    <font>
      <b/>
      <sz val="8"/>
      <color rgb="FF002060"/>
      <name val="HG明朝B"/>
      <family val="1"/>
      <charset val="128"/>
    </font>
    <font>
      <sz val="9"/>
      <color rgb="FF002060"/>
      <name val="メイリオ"/>
      <family val="3"/>
      <charset val="128"/>
    </font>
    <font>
      <sz val="8"/>
      <color rgb="FF002060"/>
      <name val="HG明朝B"/>
      <family val="1"/>
      <charset val="128"/>
    </font>
    <font>
      <sz val="8"/>
      <color rgb="FF002060"/>
      <name val="メイリオ"/>
      <family val="3"/>
      <charset val="128"/>
    </font>
    <font>
      <vertAlign val="superscript"/>
      <sz val="8"/>
      <color rgb="FF002060"/>
      <name val="HG明朝B"/>
      <family val="1"/>
      <charset val="128"/>
    </font>
  </fonts>
  <fills count="20">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indexed="55"/>
        <bgColor indexed="64"/>
      </patternFill>
    </fill>
    <fill>
      <patternFill patternType="solid">
        <fgColor indexed="26"/>
        <bgColor indexed="64"/>
      </patternFill>
    </fill>
    <fill>
      <patternFill patternType="solid">
        <fgColor indexed="11"/>
        <bgColor indexed="64"/>
      </patternFill>
    </fill>
    <fill>
      <patternFill patternType="solid">
        <fgColor indexed="51"/>
        <bgColor indexed="64"/>
      </patternFill>
    </fill>
    <fill>
      <patternFill patternType="solid">
        <fgColor indexed="15"/>
        <bgColor indexed="64"/>
      </patternFill>
    </fill>
    <fill>
      <patternFill patternType="solid">
        <fgColor theme="1" tint="0.34998626667073579"/>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theme="9"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s>
  <borders count="127">
    <border>
      <left/>
      <right/>
      <top/>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style="medium">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style="medium">
        <color indexed="64"/>
      </left>
      <right/>
      <top style="hair">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xf numFmtId="0" fontId="54" fillId="0" borderId="0"/>
    <xf numFmtId="0" fontId="1" fillId="0" borderId="0"/>
    <xf numFmtId="0" fontId="56" fillId="0" borderId="0" applyNumberFormat="0" applyFill="0" applyBorder="0" applyAlignment="0" applyProtection="0">
      <alignment vertical="top"/>
      <protection locked="0"/>
    </xf>
  </cellStyleXfs>
  <cellXfs count="912">
    <xf numFmtId="0" fontId="0" fillId="0" borderId="0" xfId="0"/>
    <xf numFmtId="0" fontId="4" fillId="2" borderId="0" xfId="0" applyFont="1" applyFill="1" applyProtection="1">
      <protection hidden="1"/>
    </xf>
    <xf numFmtId="0" fontId="0" fillId="2" borderId="0" xfId="0" applyFill="1" applyProtection="1">
      <protection hidden="1"/>
    </xf>
    <xf numFmtId="0" fontId="5" fillId="2" borderId="0" xfId="0" applyFont="1" applyFill="1" applyBorder="1" applyAlignment="1" applyProtection="1">
      <alignment horizontal="right"/>
      <protection hidden="1"/>
    </xf>
    <xf numFmtId="0" fontId="0" fillId="2" borderId="0" xfId="0" applyFill="1" applyBorder="1" applyProtection="1">
      <protection hidden="1"/>
    </xf>
    <xf numFmtId="0" fontId="7" fillId="2" borderId="0" xfId="0" applyFont="1" applyFill="1" applyBorder="1" applyProtection="1">
      <protection hidden="1"/>
    </xf>
    <xf numFmtId="0" fontId="12" fillId="2" borderId="0" xfId="0" applyFont="1" applyFill="1" applyBorder="1" applyProtection="1">
      <protection hidden="1"/>
    </xf>
    <xf numFmtId="0" fontId="13" fillId="2" borderId="0" xfId="0" applyFont="1" applyFill="1" applyBorder="1" applyProtection="1">
      <protection hidden="1"/>
    </xf>
    <xf numFmtId="0" fontId="14" fillId="2" borderId="0" xfId="0" applyFont="1" applyFill="1" applyBorder="1" applyAlignment="1" applyProtection="1">
      <alignment horizontal="right"/>
      <protection hidden="1"/>
    </xf>
    <xf numFmtId="0" fontId="15" fillId="2" borderId="0" xfId="0" applyFont="1" applyFill="1" applyBorder="1" applyAlignment="1" applyProtection="1">
      <alignment horizontal="left"/>
      <protection hidden="1"/>
    </xf>
    <xf numFmtId="0" fontId="16" fillId="2" borderId="0" xfId="0" applyFont="1" applyFill="1" applyBorder="1" applyAlignment="1" applyProtection="1">
      <alignment vertical="top"/>
      <protection hidden="1"/>
    </xf>
    <xf numFmtId="0" fontId="5" fillId="2" borderId="0" xfId="0" applyFont="1" applyFill="1" applyBorder="1" applyAlignment="1" applyProtection="1">
      <alignment vertical="top"/>
      <protection hidden="1"/>
    </xf>
    <xf numFmtId="0" fontId="8" fillId="2" borderId="0" xfId="0" applyFont="1" applyFill="1" applyBorder="1" applyProtection="1">
      <protection hidden="1"/>
    </xf>
    <xf numFmtId="0" fontId="12" fillId="2" borderId="0" xfId="0" applyFont="1" applyFill="1" applyBorder="1" applyAlignment="1" applyProtection="1">
      <alignment vertical="top"/>
      <protection hidden="1"/>
    </xf>
    <xf numFmtId="0" fontId="13" fillId="2" borderId="0" xfId="0" applyFont="1" applyFill="1" applyBorder="1" applyAlignment="1" applyProtection="1">
      <alignment vertical="top"/>
      <protection hidden="1"/>
    </xf>
    <xf numFmtId="0" fontId="14" fillId="2" borderId="0" xfId="0" applyFont="1" applyFill="1" applyBorder="1" applyAlignment="1" applyProtection="1">
      <alignment horizontal="right" vertical="top"/>
      <protection hidden="1"/>
    </xf>
    <xf numFmtId="0" fontId="12" fillId="2" borderId="0" xfId="0" applyFont="1" applyFill="1" applyBorder="1" applyAlignment="1" applyProtection="1">
      <alignment horizontal="left" vertical="top"/>
      <protection hidden="1"/>
    </xf>
    <xf numFmtId="0" fontId="18" fillId="2" borderId="3" xfId="0" applyNumberFormat="1" applyFont="1" applyFill="1" applyBorder="1" applyAlignment="1" applyProtection="1">
      <alignment horizontal="center" vertical="center"/>
      <protection hidden="1"/>
    </xf>
    <xf numFmtId="0" fontId="18" fillId="2" borderId="10" xfId="0" applyNumberFormat="1" applyFont="1" applyFill="1" applyBorder="1" applyAlignment="1" applyProtection="1">
      <alignment horizontal="center" vertical="center"/>
      <protection hidden="1"/>
    </xf>
    <xf numFmtId="0" fontId="21" fillId="2" borderId="13" xfId="0" applyNumberFormat="1" applyFont="1" applyFill="1" applyBorder="1" applyAlignment="1" applyProtection="1">
      <alignment horizontal="left" vertical="center"/>
      <protection hidden="1"/>
    </xf>
    <xf numFmtId="0" fontId="20" fillId="2" borderId="4" xfId="0" applyNumberFormat="1" applyFont="1" applyFill="1" applyBorder="1" applyAlignment="1" applyProtection="1">
      <alignment horizontal="left" vertical="center" shrinkToFit="1"/>
      <protection hidden="1"/>
    </xf>
    <xf numFmtId="0" fontId="20" fillId="2" borderId="5" xfId="0" applyNumberFormat="1" applyFont="1" applyFill="1" applyBorder="1" applyAlignment="1" applyProtection="1">
      <alignment horizontal="left" vertical="center" shrinkToFit="1"/>
      <protection hidden="1"/>
    </xf>
    <xf numFmtId="0" fontId="19" fillId="2" borderId="6" xfId="0" applyNumberFormat="1" applyFont="1" applyFill="1" applyBorder="1" applyAlignment="1" applyProtection="1">
      <alignment vertical="center"/>
      <protection hidden="1"/>
    </xf>
    <xf numFmtId="0" fontId="19" fillId="2" borderId="4" xfId="0" applyNumberFormat="1" applyFont="1" applyFill="1" applyBorder="1" applyAlignment="1" applyProtection="1">
      <alignment vertical="center"/>
      <protection hidden="1"/>
    </xf>
    <xf numFmtId="0" fontId="20" fillId="2" borderId="4" xfId="0" applyNumberFormat="1" applyFont="1" applyFill="1" applyBorder="1" applyAlignment="1" applyProtection="1">
      <alignment vertical="center" shrinkToFit="1"/>
      <protection hidden="1"/>
    </xf>
    <xf numFmtId="0" fontId="20" fillId="2" borderId="5" xfId="0" applyNumberFormat="1" applyFont="1" applyFill="1" applyBorder="1" applyAlignment="1" applyProtection="1">
      <alignment vertical="center" shrinkToFit="1"/>
      <protection hidden="1"/>
    </xf>
    <xf numFmtId="0" fontId="20" fillId="2" borderId="4" xfId="0" applyNumberFormat="1" applyFont="1" applyFill="1" applyBorder="1" applyAlignment="1" applyProtection="1">
      <alignment vertical="top" shrinkToFit="1"/>
      <protection hidden="1"/>
    </xf>
    <xf numFmtId="0" fontId="20" fillId="2" borderId="11" xfId="0" applyNumberFormat="1" applyFont="1" applyFill="1" applyBorder="1" applyAlignment="1" applyProtection="1">
      <alignment horizontal="left"/>
      <protection hidden="1"/>
    </xf>
    <xf numFmtId="0" fontId="20" fillId="2" borderId="1" xfId="0" applyNumberFormat="1" applyFont="1" applyFill="1" applyBorder="1" applyAlignment="1" applyProtection="1">
      <alignment horizontal="left"/>
      <protection hidden="1"/>
    </xf>
    <xf numFmtId="0" fontId="20" fillId="2" borderId="2" xfId="0" applyNumberFormat="1" applyFont="1" applyFill="1" applyBorder="1" applyAlignment="1" applyProtection="1">
      <alignment horizontal="left"/>
      <protection hidden="1"/>
    </xf>
    <xf numFmtId="0" fontId="20" fillId="2" borderId="0" xfId="0" applyNumberFormat="1" applyFont="1" applyFill="1" applyBorder="1" applyAlignment="1" applyProtection="1">
      <alignment horizontal="left"/>
      <protection hidden="1"/>
    </xf>
    <xf numFmtId="0" fontId="20" fillId="2" borderId="6" xfId="0" applyNumberFormat="1" applyFont="1" applyFill="1" applyBorder="1" applyAlignment="1" applyProtection="1">
      <alignment horizontal="left"/>
      <protection hidden="1"/>
    </xf>
    <xf numFmtId="0" fontId="20" fillId="2" borderId="4" xfId="0" applyNumberFormat="1" applyFont="1" applyFill="1" applyBorder="1" applyAlignment="1" applyProtection="1">
      <alignment horizontal="left"/>
      <protection hidden="1"/>
    </xf>
    <xf numFmtId="0" fontId="20" fillId="2" borderId="9" xfId="0" applyNumberFormat="1" applyFont="1" applyFill="1" applyBorder="1" applyAlignment="1" applyProtection="1">
      <alignment horizontal="left"/>
      <protection hidden="1"/>
    </xf>
    <xf numFmtId="0" fontId="20" fillId="2" borderId="7" xfId="0" applyNumberFormat="1" applyFont="1" applyFill="1" applyBorder="1" applyAlignment="1" applyProtection="1">
      <alignment horizontal="left"/>
      <protection hidden="1"/>
    </xf>
    <xf numFmtId="0" fontId="20" fillId="2" borderId="8" xfId="0" applyNumberFormat="1" applyFont="1" applyFill="1" applyBorder="1" applyAlignment="1" applyProtection="1">
      <alignment horizontal="left"/>
      <protection hidden="1"/>
    </xf>
    <xf numFmtId="0" fontId="20" fillId="2" borderId="6" xfId="0" applyNumberFormat="1" applyFont="1" applyFill="1" applyBorder="1" applyAlignment="1" applyProtection="1">
      <alignment vertical="center"/>
      <protection hidden="1"/>
    </xf>
    <xf numFmtId="0" fontId="20" fillId="2" borderId="4" xfId="0" applyNumberFormat="1" applyFont="1" applyFill="1" applyBorder="1" applyAlignment="1" applyProtection="1">
      <alignment vertical="center"/>
      <protection hidden="1"/>
    </xf>
    <xf numFmtId="0" fontId="20" fillId="2" borderId="4" xfId="0" applyNumberFormat="1" applyFont="1" applyFill="1" applyBorder="1" applyAlignment="1" applyProtection="1">
      <alignment vertical="top"/>
      <protection hidden="1"/>
    </xf>
    <xf numFmtId="0" fontId="20" fillId="2" borderId="6" xfId="0" applyNumberFormat="1" applyFont="1" applyFill="1" applyBorder="1" applyAlignment="1" applyProtection="1">
      <alignment horizontal="center" vertical="center"/>
      <protection hidden="1"/>
    </xf>
    <xf numFmtId="0" fontId="20" fillId="2" borderId="4" xfId="0" applyNumberFormat="1" applyFont="1" applyFill="1" applyBorder="1" applyAlignment="1" applyProtection="1">
      <alignment horizontal="center" vertical="center"/>
      <protection hidden="1"/>
    </xf>
    <xf numFmtId="0" fontId="20" fillId="2" borderId="7" xfId="0" applyNumberFormat="1" applyFont="1" applyFill="1" applyBorder="1" applyAlignment="1" applyProtection="1">
      <alignment vertical="center" shrinkToFit="1"/>
      <protection hidden="1"/>
    </xf>
    <xf numFmtId="0" fontId="20" fillId="2" borderId="1" xfId="0" applyNumberFormat="1" applyFont="1" applyFill="1" applyBorder="1" applyAlignment="1" applyProtection="1">
      <alignment vertical="center" shrinkToFit="1"/>
      <protection hidden="1"/>
    </xf>
    <xf numFmtId="0" fontId="27" fillId="2" borderId="4" xfId="0" applyNumberFormat="1" applyFont="1" applyFill="1" applyBorder="1" applyAlignment="1" applyProtection="1">
      <protection hidden="1"/>
    </xf>
    <xf numFmtId="0" fontId="20" fillId="2" borderId="9" xfId="0" applyNumberFormat="1" applyFont="1" applyFill="1" applyBorder="1" applyAlignment="1" applyProtection="1">
      <alignment vertical="center"/>
      <protection hidden="1"/>
    </xf>
    <xf numFmtId="0" fontId="20" fillId="2" borderId="7" xfId="0" applyNumberFormat="1" applyFont="1" applyFill="1" applyBorder="1" applyAlignment="1" applyProtection="1">
      <alignment vertical="center"/>
      <protection hidden="1"/>
    </xf>
    <xf numFmtId="0" fontId="20" fillId="2" borderId="0" xfId="0" applyNumberFormat="1" applyFont="1" applyFill="1" applyBorder="1" applyAlignment="1" applyProtection="1">
      <alignment vertical="center" shrinkToFit="1"/>
      <protection hidden="1"/>
    </xf>
    <xf numFmtId="0" fontId="20" fillId="2" borderId="8" xfId="0" applyNumberFormat="1" applyFont="1" applyFill="1" applyBorder="1" applyAlignment="1" applyProtection="1">
      <alignment vertical="center" shrinkToFit="1"/>
      <protection hidden="1"/>
    </xf>
    <xf numFmtId="0" fontId="20" fillId="2" borderId="11" xfId="0" applyNumberFormat="1" applyFont="1" applyFill="1" applyBorder="1" applyAlignment="1" applyProtection="1">
      <alignment vertical="center"/>
      <protection hidden="1"/>
    </xf>
    <xf numFmtId="0" fontId="20" fillId="2" borderId="1" xfId="0" applyNumberFormat="1" applyFont="1" applyFill="1" applyBorder="1" applyAlignment="1" applyProtection="1">
      <alignment vertical="center"/>
      <protection hidden="1"/>
    </xf>
    <xf numFmtId="0" fontId="20" fillId="2" borderId="2" xfId="0" applyNumberFormat="1" applyFont="1" applyFill="1" applyBorder="1" applyAlignment="1" applyProtection="1">
      <alignment vertical="center" shrinkToFit="1"/>
      <protection hidden="1"/>
    </xf>
    <xf numFmtId="179" fontId="26" fillId="4" borderId="1" xfId="0" applyNumberFormat="1" applyFont="1" applyFill="1" applyBorder="1" applyAlignment="1" applyProtection="1">
      <alignment horizontal="center" vertical="center" shrinkToFit="1"/>
      <protection hidden="1"/>
    </xf>
    <xf numFmtId="0" fontId="20" fillId="4" borderId="1" xfId="0" applyNumberFormat="1" applyFont="1" applyFill="1" applyBorder="1" applyAlignment="1" applyProtection="1">
      <alignment vertical="center"/>
      <protection hidden="1"/>
    </xf>
    <xf numFmtId="0" fontId="20" fillId="4" borderId="1" xfId="0" applyNumberFormat="1" applyFont="1" applyFill="1" applyBorder="1" applyAlignment="1" applyProtection="1">
      <alignment vertical="center" shrinkToFit="1"/>
      <protection hidden="1"/>
    </xf>
    <xf numFmtId="0" fontId="32" fillId="4" borderId="22" xfId="0" applyNumberFormat="1" applyFont="1" applyFill="1" applyBorder="1" applyAlignment="1" applyProtection="1">
      <alignment shrinkToFit="1"/>
      <protection hidden="1"/>
    </xf>
    <xf numFmtId="0" fontId="27" fillId="2" borderId="7" xfId="0" applyNumberFormat="1" applyFont="1" applyFill="1" applyBorder="1" applyAlignment="1" applyProtection="1">
      <alignment horizontal="right"/>
      <protection hidden="1"/>
    </xf>
    <xf numFmtId="0" fontId="27" fillId="2" borderId="4" xfId="0" applyNumberFormat="1" applyFont="1" applyFill="1" applyBorder="1" applyAlignment="1" applyProtection="1">
      <alignment horizontal="center" shrinkToFit="1"/>
      <protection hidden="1"/>
    </xf>
    <xf numFmtId="0" fontId="24" fillId="2" borderId="4" xfId="0" applyNumberFormat="1" applyFont="1" applyFill="1" applyBorder="1" applyAlignment="1" applyProtection="1">
      <alignment horizontal="left" vertical="top" shrinkToFit="1"/>
      <protection hidden="1"/>
    </xf>
    <xf numFmtId="0" fontId="24" fillId="2" borderId="5" xfId="0" applyNumberFormat="1" applyFont="1" applyFill="1" applyBorder="1" applyAlignment="1" applyProtection="1">
      <alignment horizontal="left" vertical="top" shrinkToFit="1"/>
      <protection hidden="1"/>
    </xf>
    <xf numFmtId="0" fontId="24" fillId="2" borderId="4" xfId="0" applyNumberFormat="1" applyFont="1" applyFill="1" applyBorder="1" applyAlignment="1" applyProtection="1">
      <alignment horizontal="center"/>
      <protection hidden="1"/>
    </xf>
    <xf numFmtId="0" fontId="24" fillId="2" borderId="4" xfId="0" applyNumberFormat="1" applyFont="1" applyFill="1" applyBorder="1" applyAlignment="1" applyProtection="1">
      <alignment horizontal="center" vertical="top" shrinkToFit="1"/>
      <protection hidden="1"/>
    </xf>
    <xf numFmtId="0" fontId="20" fillId="2" borderId="4" xfId="0" applyNumberFormat="1" applyFont="1" applyFill="1" applyBorder="1" applyAlignment="1" applyProtection="1">
      <alignment shrinkToFit="1"/>
      <protection hidden="1"/>
    </xf>
    <xf numFmtId="0" fontId="27" fillId="2" borderId="7" xfId="0" applyNumberFormat="1" applyFont="1" applyFill="1" applyBorder="1" applyAlignment="1" applyProtection="1">
      <alignment horizontal="center" shrinkToFit="1"/>
      <protection hidden="1"/>
    </xf>
    <xf numFmtId="0" fontId="0" fillId="5" borderId="0" xfId="0" applyFill="1"/>
    <xf numFmtId="0" fontId="0" fillId="5" borderId="0" xfId="0" applyFill="1" applyProtection="1">
      <protection hidden="1"/>
    </xf>
    <xf numFmtId="182" fontId="0" fillId="5" borderId="0" xfId="0" applyNumberFormat="1" applyFill="1" applyProtection="1">
      <protection hidden="1"/>
    </xf>
    <xf numFmtId="0" fontId="38" fillId="5" borderId="0" xfId="0" applyFont="1" applyFill="1" applyBorder="1" applyAlignment="1" applyProtection="1">
      <alignment horizontal="left" vertical="center"/>
      <protection hidden="1"/>
    </xf>
    <xf numFmtId="0" fontId="1" fillId="5" borderId="0" xfId="0" applyFont="1" applyFill="1" applyBorder="1" applyAlignment="1" applyProtection="1">
      <alignment horizontal="center" vertical="center"/>
      <protection hidden="1"/>
    </xf>
    <xf numFmtId="185" fontId="7" fillId="5" borderId="0" xfId="0" applyNumberFormat="1" applyFont="1" applyFill="1" applyBorder="1" applyAlignment="1" applyProtection="1">
      <alignment wrapText="1"/>
      <protection hidden="1"/>
    </xf>
    <xf numFmtId="182" fontId="7" fillId="5" borderId="0" xfId="0" applyNumberFormat="1" applyFont="1" applyFill="1" applyBorder="1" applyAlignment="1" applyProtection="1">
      <alignment horizontal="right"/>
      <protection hidden="1"/>
    </xf>
    <xf numFmtId="0" fontId="0" fillId="5" borderId="0" xfId="0" applyFill="1" applyBorder="1" applyProtection="1">
      <protection hidden="1"/>
    </xf>
    <xf numFmtId="0" fontId="1" fillId="2" borderId="39" xfId="0" applyNumberFormat="1" applyFont="1" applyFill="1" applyBorder="1" applyAlignment="1" applyProtection="1">
      <alignment horizontal="center" vertical="center" shrinkToFit="1"/>
      <protection hidden="1"/>
    </xf>
    <xf numFmtId="0" fontId="1" fillId="5" borderId="0" xfId="0" applyFont="1" applyFill="1" applyProtection="1">
      <protection hidden="1"/>
    </xf>
    <xf numFmtId="0" fontId="2" fillId="2" borderId="46" xfId="0" applyFont="1" applyFill="1" applyBorder="1" applyAlignment="1" applyProtection="1">
      <alignment horizontal="center" vertical="center" shrinkToFit="1"/>
      <protection hidden="1"/>
    </xf>
    <xf numFmtId="190" fontId="36" fillId="2" borderId="47" xfId="0" applyNumberFormat="1" applyFont="1" applyFill="1" applyBorder="1" applyAlignment="1" applyProtection="1">
      <alignment horizontal="center" vertical="center" shrinkToFit="1"/>
      <protection hidden="1"/>
    </xf>
    <xf numFmtId="0" fontId="1" fillId="2" borderId="11"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0" fillId="2" borderId="1" xfId="0" applyFill="1" applyBorder="1" applyProtection="1">
      <protection hidden="1"/>
    </xf>
    <xf numFmtId="0" fontId="13" fillId="2" borderId="1" xfId="0" applyFont="1" applyFill="1" applyBorder="1" applyAlignment="1" applyProtection="1">
      <alignment horizontal="center" vertical="center"/>
      <protection hidden="1"/>
    </xf>
    <xf numFmtId="0" fontId="2" fillId="2" borderId="1" xfId="0" applyFont="1" applyFill="1" applyBorder="1" applyAlignment="1" applyProtection="1">
      <alignment horizontal="center"/>
      <protection hidden="1"/>
    </xf>
    <xf numFmtId="0" fontId="13" fillId="2" borderId="50" xfId="0" applyFont="1" applyFill="1" applyBorder="1" applyAlignment="1" applyProtection="1">
      <alignment horizontal="center" vertical="center"/>
      <protection hidden="1"/>
    </xf>
    <xf numFmtId="0" fontId="7" fillId="2" borderId="52" xfId="0" applyFont="1" applyFill="1" applyBorder="1" applyAlignment="1" applyProtection="1">
      <alignment horizontal="center" vertical="center"/>
      <protection hidden="1"/>
    </xf>
    <xf numFmtId="0" fontId="1" fillId="2" borderId="42" xfId="0" applyFont="1" applyFill="1" applyBorder="1" applyAlignment="1" applyProtection="1">
      <alignment horizontal="center" vertical="center" wrapText="1"/>
      <protection hidden="1"/>
    </xf>
    <xf numFmtId="0" fontId="36" fillId="2" borderId="42" xfId="0" applyFont="1" applyFill="1" applyBorder="1" applyAlignment="1" applyProtection="1">
      <alignment horizontal="center" vertical="center" shrinkToFit="1"/>
      <protection hidden="1"/>
    </xf>
    <xf numFmtId="0" fontId="36" fillId="2" borderId="54" xfId="0" applyFont="1" applyFill="1" applyBorder="1" applyAlignment="1" applyProtection="1">
      <alignment horizontal="center" vertical="center" shrinkToFit="1"/>
      <protection hidden="1"/>
    </xf>
    <xf numFmtId="190" fontId="36" fillId="2" borderId="22" xfId="0" applyNumberFormat="1" applyFont="1" applyFill="1" applyBorder="1" applyAlignment="1" applyProtection="1">
      <alignment horizontal="center" vertical="center" shrinkToFit="1"/>
      <protection hidden="1"/>
    </xf>
    <xf numFmtId="190" fontId="36" fillId="2" borderId="45" xfId="0" applyNumberFormat="1" applyFont="1" applyFill="1" applyBorder="1" applyAlignment="1" applyProtection="1">
      <alignment horizontal="center" vertical="center" wrapText="1"/>
      <protection hidden="1"/>
    </xf>
    <xf numFmtId="0" fontId="43" fillId="2" borderId="53" xfId="0" applyFont="1" applyFill="1" applyBorder="1" applyAlignment="1" applyProtection="1">
      <alignment horizontal="center" vertical="center" shrinkToFit="1"/>
      <protection hidden="1"/>
    </xf>
    <xf numFmtId="0" fontId="7" fillId="2" borderId="42" xfId="0" applyFont="1" applyFill="1" applyBorder="1" applyAlignment="1" applyProtection="1">
      <alignment horizontal="center"/>
      <protection hidden="1"/>
    </xf>
    <xf numFmtId="0" fontId="7" fillId="2" borderId="13" xfId="0" applyFont="1" applyFill="1" applyBorder="1" applyAlignment="1" applyProtection="1">
      <alignment horizontal="center" shrinkToFit="1"/>
      <protection hidden="1"/>
    </xf>
    <xf numFmtId="0" fontId="36" fillId="2" borderId="44" xfId="0" applyFont="1" applyFill="1" applyBorder="1" applyAlignment="1" applyProtection="1">
      <alignment horizontal="center" vertical="center" shrinkToFit="1"/>
      <protection hidden="1"/>
    </xf>
    <xf numFmtId="0" fontId="43" fillId="2" borderId="58" xfId="0" applyFont="1" applyFill="1" applyBorder="1" applyAlignment="1" applyProtection="1">
      <alignment horizontal="center" vertical="top" shrinkToFit="1"/>
      <protection hidden="1"/>
    </xf>
    <xf numFmtId="0" fontId="43" fillId="2" borderId="64" xfId="0" applyFont="1" applyFill="1" applyBorder="1" applyAlignment="1" applyProtection="1">
      <alignment horizontal="right" vertical="center" shrinkToFit="1"/>
      <protection hidden="1"/>
    </xf>
    <xf numFmtId="0" fontId="43" fillId="2" borderId="65" xfId="0" applyFont="1" applyFill="1" applyBorder="1" applyAlignment="1" applyProtection="1">
      <alignment horizontal="center" vertical="center" shrinkToFit="1"/>
      <protection hidden="1"/>
    </xf>
    <xf numFmtId="0" fontId="36" fillId="2" borderId="66" xfId="0" applyFont="1" applyFill="1" applyBorder="1" applyAlignment="1" applyProtection="1">
      <alignment horizontal="center" vertical="center"/>
      <protection hidden="1"/>
    </xf>
    <xf numFmtId="0" fontId="43" fillId="2" borderId="68" xfId="0" applyFont="1" applyFill="1" applyBorder="1" applyAlignment="1" applyProtection="1">
      <alignment horizontal="center" vertical="center" shrinkToFit="1"/>
      <protection hidden="1"/>
    </xf>
    <xf numFmtId="0" fontId="47" fillId="2" borderId="68" xfId="0" applyFont="1" applyFill="1" applyBorder="1" applyAlignment="1" applyProtection="1">
      <alignment horizontal="center" vertical="top"/>
      <protection hidden="1"/>
    </xf>
    <xf numFmtId="0" fontId="43" fillId="2" borderId="61" xfId="0" applyFont="1" applyFill="1" applyBorder="1" applyAlignment="1" applyProtection="1">
      <alignment horizontal="center" vertical="center"/>
      <protection hidden="1"/>
    </xf>
    <xf numFmtId="0" fontId="47" fillId="2" borderId="61" xfId="0" applyFont="1" applyFill="1" applyBorder="1" applyAlignment="1" applyProtection="1">
      <alignment horizontal="center" vertical="center" shrinkToFit="1"/>
      <protection hidden="1"/>
    </xf>
    <xf numFmtId="0" fontId="43" fillId="2" borderId="68" xfId="0" applyFont="1" applyFill="1" applyBorder="1" applyAlignment="1" applyProtection="1">
      <alignment horizontal="center" vertical="center"/>
      <protection hidden="1"/>
    </xf>
    <xf numFmtId="0" fontId="36" fillId="2" borderId="69" xfId="0" applyFont="1" applyFill="1" applyBorder="1" applyAlignment="1" applyProtection="1">
      <alignment horizontal="center" vertical="center" shrinkToFit="1"/>
      <protection hidden="1"/>
    </xf>
    <xf numFmtId="0" fontId="43" fillId="2" borderId="70" xfId="0" applyFont="1" applyFill="1" applyBorder="1" applyAlignment="1" applyProtection="1">
      <alignment horizontal="center" vertical="center" shrinkToFit="1"/>
      <protection hidden="1"/>
    </xf>
    <xf numFmtId="190" fontId="36" fillId="2" borderId="71" xfId="0" applyNumberFormat="1" applyFont="1" applyFill="1" applyBorder="1" applyAlignment="1" applyProtection="1">
      <alignment horizontal="center" vertical="center" shrinkToFit="1"/>
      <protection hidden="1"/>
    </xf>
    <xf numFmtId="0" fontId="48" fillId="2" borderId="72" xfId="0" quotePrefix="1" applyFont="1" applyFill="1" applyBorder="1" applyAlignment="1" applyProtection="1">
      <alignment horizontal="center" vertical="center" shrinkToFit="1"/>
      <protection hidden="1"/>
    </xf>
    <xf numFmtId="0" fontId="48" fillId="2" borderId="66" xfId="0" quotePrefix="1" applyFont="1" applyFill="1" applyBorder="1" applyAlignment="1" applyProtection="1">
      <alignment horizontal="center" vertical="center" shrinkToFit="1"/>
      <protection hidden="1"/>
    </xf>
    <xf numFmtId="0" fontId="36" fillId="5" borderId="0" xfId="0" applyNumberFormat="1" applyFont="1" applyFill="1" applyBorder="1" applyAlignment="1" applyProtection="1">
      <alignment horizontal="right" vertical="center"/>
      <protection hidden="1"/>
    </xf>
    <xf numFmtId="195" fontId="36" fillId="5" borderId="0" xfId="0" applyNumberFormat="1" applyFont="1" applyFill="1" applyAlignment="1" applyProtection="1">
      <alignment horizontal="right" vertical="center" shrinkToFit="1"/>
      <protection hidden="1"/>
    </xf>
    <xf numFmtId="180" fontId="36" fillId="5" borderId="0" xfId="0" applyNumberFormat="1" applyFont="1" applyFill="1" applyAlignment="1" applyProtection="1">
      <alignment horizontal="right" vertical="center" shrinkToFit="1"/>
      <protection hidden="1"/>
    </xf>
    <xf numFmtId="188" fontId="36" fillId="5" borderId="0" xfId="0" applyNumberFormat="1" applyFont="1" applyFill="1" applyAlignment="1" applyProtection="1">
      <alignment horizontal="right" vertical="center" shrinkToFit="1"/>
      <protection hidden="1"/>
    </xf>
    <xf numFmtId="0" fontId="36" fillId="5" borderId="0" xfId="0" applyNumberFormat="1" applyFont="1" applyFill="1" applyAlignment="1" applyProtection="1">
      <alignment horizontal="right" vertical="center"/>
      <protection hidden="1"/>
    </xf>
    <xf numFmtId="196" fontId="36" fillId="5" borderId="0" xfId="0" applyNumberFormat="1" applyFont="1" applyFill="1" applyAlignment="1" applyProtection="1">
      <alignment horizontal="right" vertical="center" shrinkToFit="1"/>
      <protection hidden="1"/>
    </xf>
    <xf numFmtId="197" fontId="51" fillId="2" borderId="46" xfId="0" applyNumberFormat="1" applyFont="1" applyFill="1" applyBorder="1" applyAlignment="1" applyProtection="1">
      <alignment horizontal="center" vertical="center"/>
      <protection hidden="1"/>
    </xf>
    <xf numFmtId="182" fontId="49" fillId="2" borderId="6" xfId="0" applyNumberFormat="1" applyFont="1" applyFill="1" applyBorder="1" applyAlignment="1" applyProtection="1">
      <alignment horizontal="right" vertical="center" shrinkToFit="1"/>
      <protection hidden="1"/>
    </xf>
    <xf numFmtId="194" fontId="49" fillId="2" borderId="45" xfId="0" applyNumberFormat="1" applyFont="1" applyFill="1" applyBorder="1" applyAlignment="1" applyProtection="1">
      <alignment horizontal="right" vertical="center" shrinkToFit="1"/>
      <protection hidden="1"/>
    </xf>
    <xf numFmtId="183" fontId="49" fillId="2" borderId="46" xfId="0" applyNumberFormat="1" applyFont="1" applyFill="1" applyBorder="1" applyAlignment="1" applyProtection="1">
      <alignment horizontal="center" vertical="center" shrinkToFit="1"/>
      <protection hidden="1"/>
    </xf>
    <xf numFmtId="192" fontId="49" fillId="2" borderId="46" xfId="0" applyNumberFormat="1" applyFont="1" applyFill="1" applyBorder="1" applyAlignment="1" applyProtection="1">
      <alignment horizontal="right" vertical="center" shrinkToFit="1"/>
      <protection hidden="1"/>
    </xf>
    <xf numFmtId="194" fontId="49" fillId="2" borderId="83" xfId="0" applyNumberFormat="1" applyFont="1" applyFill="1" applyBorder="1" applyAlignment="1" applyProtection="1">
      <alignment horizontal="right" vertical="center" shrinkToFit="1"/>
      <protection hidden="1"/>
    </xf>
    <xf numFmtId="180" fontId="36" fillId="5" borderId="0" xfId="0" applyNumberFormat="1" applyFont="1" applyFill="1" applyBorder="1" applyAlignment="1" applyProtection="1">
      <alignment horizontal="right" vertical="center" shrinkToFit="1"/>
      <protection hidden="1"/>
    </xf>
    <xf numFmtId="195" fontId="36" fillId="5" borderId="0" xfId="0" applyNumberFormat="1" applyFont="1" applyFill="1" applyBorder="1" applyAlignment="1" applyProtection="1">
      <alignment horizontal="right" vertical="center" shrinkToFit="1"/>
      <protection hidden="1"/>
    </xf>
    <xf numFmtId="182" fontId="49" fillId="2" borderId="62" xfId="0" applyNumberFormat="1" applyFont="1" applyFill="1" applyBorder="1" applyAlignment="1" applyProtection="1">
      <alignment horizontal="right" vertical="center" shrinkToFit="1"/>
      <protection hidden="1"/>
    </xf>
    <xf numFmtId="183" fontId="49" fillId="2" borderId="69" xfId="0" applyNumberFormat="1" applyFont="1" applyFill="1" applyBorder="1" applyAlignment="1" applyProtection="1">
      <alignment horizontal="center" vertical="center" shrinkToFit="1"/>
      <protection hidden="1"/>
    </xf>
    <xf numFmtId="192" fontId="49" fillId="2" borderId="69" xfId="0" applyNumberFormat="1" applyFont="1" applyFill="1" applyBorder="1" applyAlignment="1" applyProtection="1">
      <alignment horizontal="right" vertical="center" shrinkToFit="1"/>
      <protection hidden="1"/>
    </xf>
    <xf numFmtId="193" fontId="49" fillId="2" borderId="71" xfId="0" applyNumberFormat="1" applyFont="1" applyFill="1" applyBorder="1" applyAlignment="1" applyProtection="1">
      <alignment horizontal="right" vertical="center" shrinkToFit="1"/>
      <protection hidden="1"/>
    </xf>
    <xf numFmtId="207" fontId="53" fillId="2" borderId="19" xfId="0" applyNumberFormat="1" applyFont="1" applyFill="1" applyBorder="1" applyAlignment="1" applyProtection="1">
      <alignment horizontal="left" vertical="center" shrinkToFit="1"/>
      <protection hidden="1"/>
    </xf>
    <xf numFmtId="184" fontId="8" fillId="6" borderId="77" xfId="0" applyNumberFormat="1" applyFont="1" applyFill="1" applyBorder="1" applyAlignment="1" applyProtection="1">
      <alignment horizontal="center" vertical="center"/>
      <protection hidden="1"/>
    </xf>
    <xf numFmtId="193" fontId="49" fillId="2" borderId="24" xfId="0" applyNumberFormat="1" applyFont="1" applyFill="1" applyBorder="1" applyAlignment="1" applyProtection="1">
      <alignment horizontal="right" vertical="center" shrinkToFit="1"/>
      <protection hidden="1"/>
    </xf>
    <xf numFmtId="194" fontId="49" fillId="2" borderId="85" xfId="0" applyNumberFormat="1" applyFont="1" applyFill="1" applyBorder="1" applyAlignment="1" applyProtection="1">
      <alignment horizontal="center" vertical="center" shrinkToFit="1"/>
      <protection hidden="1"/>
    </xf>
    <xf numFmtId="0" fontId="0" fillId="2" borderId="0" xfId="0" applyFill="1" applyBorder="1" applyAlignment="1" applyProtection="1">
      <alignment horizontal="center"/>
      <protection hidden="1"/>
    </xf>
    <xf numFmtId="0" fontId="115" fillId="9" borderId="1" xfId="0" applyFont="1" applyFill="1" applyBorder="1" applyAlignment="1" applyProtection="1">
      <alignment horizontal="center" vertical="center"/>
      <protection hidden="1"/>
    </xf>
    <xf numFmtId="0" fontId="109" fillId="7" borderId="0" xfId="0" applyFont="1" applyFill="1" applyProtection="1">
      <protection hidden="1"/>
    </xf>
    <xf numFmtId="0" fontId="116" fillId="5" borderId="0" xfId="0" applyFont="1" applyFill="1" applyBorder="1" applyAlignment="1" applyProtection="1">
      <alignment horizontal="center" vertical="center" shrinkToFit="1"/>
      <protection hidden="1"/>
    </xf>
    <xf numFmtId="208" fontId="116" fillId="6" borderId="46" xfId="0" applyNumberFormat="1" applyFont="1" applyFill="1" applyBorder="1" applyAlignment="1" applyProtection="1">
      <alignment horizontal="right" vertical="center"/>
      <protection hidden="1"/>
    </xf>
    <xf numFmtId="210" fontId="115" fillId="6" borderId="46" xfId="0" applyNumberFormat="1" applyFont="1" applyFill="1" applyBorder="1" applyAlignment="1" applyProtection="1">
      <alignment horizontal="center" vertical="center"/>
      <protection hidden="1"/>
    </xf>
    <xf numFmtId="0" fontId="116" fillId="6" borderId="52" xfId="0" applyFont="1" applyFill="1" applyBorder="1" applyAlignment="1" applyProtection="1">
      <alignment horizontal="center" vertical="center"/>
      <protection hidden="1"/>
    </xf>
    <xf numFmtId="208" fontId="72" fillId="0" borderId="0" xfId="0" applyNumberFormat="1" applyFont="1" applyFill="1" applyBorder="1" applyAlignment="1" applyProtection="1">
      <alignment horizontal="right" vertical="center"/>
      <protection locked="0"/>
    </xf>
    <xf numFmtId="210" fontId="1" fillId="0" borderId="0" xfId="0" applyNumberFormat="1" applyFont="1" applyFill="1" applyBorder="1" applyAlignment="1" applyProtection="1">
      <alignment horizontal="right" vertical="center"/>
      <protection locked="0"/>
    </xf>
    <xf numFmtId="210" fontId="118" fillId="0" borderId="0" xfId="0" applyNumberFormat="1" applyFont="1" applyFill="1" applyBorder="1" applyAlignment="1" applyProtection="1">
      <alignment vertical="center" shrinkToFit="1"/>
      <protection hidden="1"/>
    </xf>
    <xf numFmtId="208" fontId="36" fillId="5" borderId="0" xfId="0" applyNumberFormat="1" applyFont="1" applyFill="1" applyBorder="1" applyAlignment="1" applyProtection="1">
      <alignment horizontal="right" vertical="center"/>
      <protection hidden="1"/>
    </xf>
    <xf numFmtId="0" fontId="116" fillId="6" borderId="42" xfId="0" applyFont="1" applyFill="1" applyBorder="1" applyAlignment="1" applyProtection="1">
      <alignment horizontal="center" vertical="center"/>
      <protection hidden="1"/>
    </xf>
    <xf numFmtId="0" fontId="0" fillId="6" borderId="59" xfId="0" applyFill="1" applyBorder="1" applyAlignment="1" applyProtection="1">
      <alignment horizontal="center" vertical="center"/>
      <protection hidden="1"/>
    </xf>
    <xf numFmtId="0" fontId="1" fillId="6" borderId="59" xfId="0" applyFont="1" applyFill="1" applyBorder="1" applyAlignment="1" applyProtection="1">
      <alignment horizontal="center" vertical="center"/>
      <protection hidden="1"/>
    </xf>
    <xf numFmtId="208" fontId="36" fillId="5" borderId="0" xfId="0" applyNumberFormat="1" applyFont="1" applyFill="1" applyBorder="1" applyAlignment="1" applyProtection="1">
      <alignment horizontal="right" vertical="center"/>
      <protection locked="0"/>
    </xf>
    <xf numFmtId="183" fontId="72" fillId="0" borderId="0" xfId="0" applyNumberFormat="1" applyFont="1" applyFill="1" applyBorder="1" applyAlignment="1" applyProtection="1">
      <alignment horizontal="right" vertical="center"/>
      <protection locked="0"/>
    </xf>
    <xf numFmtId="210" fontId="36" fillId="0" borderId="0" xfId="0" applyNumberFormat="1" applyFont="1" applyFill="1" applyBorder="1" applyAlignment="1" applyProtection="1">
      <alignment horizontal="right" vertical="center"/>
      <protection locked="0"/>
    </xf>
    <xf numFmtId="208" fontId="72" fillId="5" borderId="0" xfId="0" applyNumberFormat="1" applyFont="1" applyFill="1" applyBorder="1" applyAlignment="1" applyProtection="1">
      <alignment horizontal="right" vertical="center"/>
      <protection hidden="1"/>
    </xf>
    <xf numFmtId="210" fontId="36" fillId="5" borderId="0" xfId="0" applyNumberFormat="1" applyFont="1" applyFill="1" applyBorder="1" applyAlignment="1" applyProtection="1">
      <alignment horizontal="right" vertical="center"/>
      <protection hidden="1"/>
    </xf>
    <xf numFmtId="0" fontId="115" fillId="9" borderId="6" xfId="0" applyFont="1" applyFill="1" applyBorder="1" applyAlignment="1" applyProtection="1">
      <alignment horizontal="center" vertical="center"/>
      <protection hidden="1"/>
    </xf>
    <xf numFmtId="211" fontId="72" fillId="2" borderId="46" xfId="0" applyNumberFormat="1" applyFont="1" applyFill="1" applyBorder="1" applyAlignment="1" applyProtection="1">
      <alignment horizontal="right" vertical="center" shrinkToFit="1"/>
      <protection locked="0"/>
    </xf>
    <xf numFmtId="210" fontId="1" fillId="2" borderId="46" xfId="0" applyNumberFormat="1" applyFont="1" applyFill="1" applyBorder="1" applyAlignment="1" applyProtection="1">
      <alignment horizontal="right" vertical="center"/>
      <protection locked="0"/>
    </xf>
    <xf numFmtId="210" fontId="118" fillId="2" borderId="46" xfId="0" applyNumberFormat="1" applyFont="1" applyFill="1" applyBorder="1" applyAlignment="1" applyProtection="1">
      <alignment vertical="center" shrinkToFit="1"/>
      <protection hidden="1"/>
    </xf>
    <xf numFmtId="0" fontId="31" fillId="2" borderId="78" xfId="0" applyFont="1" applyFill="1" applyBorder="1" applyAlignment="1" applyProtection="1">
      <alignment horizontal="center"/>
      <protection hidden="1"/>
    </xf>
    <xf numFmtId="0" fontId="18" fillId="2" borderId="12" xfId="0" applyNumberFormat="1" applyFont="1" applyFill="1" applyBorder="1" applyAlignment="1" applyProtection="1">
      <alignment horizontal="center" vertical="center"/>
      <protection hidden="1"/>
    </xf>
    <xf numFmtId="0" fontId="28" fillId="2" borderId="7" xfId="0" applyNumberFormat="1" applyFont="1" applyFill="1" applyBorder="1" applyAlignment="1" applyProtection="1">
      <alignment horizontal="center" shrinkToFit="1"/>
      <protection hidden="1"/>
    </xf>
    <xf numFmtId="179" fontId="26" fillId="3" borderId="0" xfId="0" applyNumberFormat="1" applyFont="1" applyFill="1" applyBorder="1" applyAlignment="1" applyProtection="1">
      <alignment horizontal="center" vertical="center" shrinkToFit="1"/>
      <protection hidden="1"/>
    </xf>
    <xf numFmtId="201" fontId="127" fillId="2" borderId="104" xfId="1" applyNumberFormat="1" applyFont="1" applyFill="1" applyBorder="1" applyAlignment="1" applyProtection="1">
      <alignment horizontal="right" shrinkToFit="1"/>
      <protection hidden="1"/>
    </xf>
    <xf numFmtId="49" fontId="128" fillId="2" borderId="28" xfId="1" applyNumberFormat="1" applyFont="1" applyFill="1" applyBorder="1" applyProtection="1">
      <protection hidden="1"/>
    </xf>
    <xf numFmtId="0" fontId="43" fillId="2" borderId="28" xfId="1" applyFont="1" applyFill="1" applyBorder="1" applyProtection="1">
      <protection hidden="1"/>
    </xf>
    <xf numFmtId="0" fontId="43" fillId="2" borderId="105" xfId="1" applyFont="1" applyFill="1" applyBorder="1" applyProtection="1">
      <protection hidden="1"/>
    </xf>
    <xf numFmtId="49" fontId="43" fillId="12" borderId="46" xfId="1" applyNumberFormat="1" applyFont="1" applyFill="1" applyBorder="1" applyAlignment="1" applyProtection="1">
      <alignment horizontal="right" shrinkToFit="1"/>
      <protection hidden="1"/>
    </xf>
    <xf numFmtId="213" fontId="8" fillId="2" borderId="6" xfId="1" applyNumberFormat="1" applyFont="1" applyFill="1" applyBorder="1" applyAlignment="1" applyProtection="1">
      <alignment horizontal="right" shrinkToFit="1"/>
      <protection hidden="1"/>
    </xf>
    <xf numFmtId="201" fontId="127" fillId="2" borderId="106" xfId="1" applyNumberFormat="1" applyFont="1" applyFill="1" applyBorder="1" applyAlignment="1" applyProtection="1">
      <alignment horizontal="right" shrinkToFit="1"/>
      <protection hidden="1"/>
    </xf>
    <xf numFmtId="185" fontId="127" fillId="2" borderId="53" xfId="1" applyNumberFormat="1" applyFont="1" applyFill="1" applyBorder="1" applyAlignment="1" applyProtection="1">
      <alignment horizontal="right" shrinkToFit="1"/>
      <protection hidden="1"/>
    </xf>
    <xf numFmtId="49" fontId="43" fillId="12" borderId="52" xfId="1" applyNumberFormat="1" applyFont="1" applyFill="1" applyBorder="1" applyAlignment="1" applyProtection="1">
      <alignment horizontal="right" shrinkToFit="1"/>
      <protection hidden="1"/>
    </xf>
    <xf numFmtId="214" fontId="36" fillId="2" borderId="6" xfId="1" applyNumberFormat="1" applyFont="1" applyFill="1" applyBorder="1" applyAlignment="1" applyProtection="1">
      <alignment horizontal="right" shrinkToFit="1"/>
      <protection hidden="1"/>
    </xf>
    <xf numFmtId="201" fontId="127" fillId="2" borderId="45" xfId="1" applyNumberFormat="1" applyFont="1" applyFill="1" applyBorder="1" applyAlignment="1" applyProtection="1">
      <alignment horizontal="right" shrinkToFit="1"/>
      <protection hidden="1"/>
    </xf>
    <xf numFmtId="0" fontId="132" fillId="12" borderId="108" xfId="1" applyFont="1" applyFill="1" applyBorder="1" applyAlignment="1" applyProtection="1">
      <alignment horizontal="left" vertical="center"/>
      <protection hidden="1"/>
    </xf>
    <xf numFmtId="0" fontId="43" fillId="12" borderId="7" xfId="1" applyFont="1" applyFill="1" applyBorder="1" applyProtection="1">
      <protection hidden="1"/>
    </xf>
    <xf numFmtId="213" fontId="43" fillId="2" borderId="7" xfId="1" applyNumberFormat="1" applyFont="1" applyFill="1" applyBorder="1" applyProtection="1">
      <protection hidden="1"/>
    </xf>
    <xf numFmtId="0" fontId="2" fillId="2" borderId="18" xfId="1" applyNumberFormat="1" applyFont="1" applyFill="1" applyBorder="1" applyAlignment="1" applyProtection="1">
      <alignment horizontal="left" shrinkToFit="1"/>
      <protection hidden="1"/>
    </xf>
    <xf numFmtId="0" fontId="36" fillId="2" borderId="0" xfId="1" applyNumberFormat="1" applyFont="1" applyFill="1" applyBorder="1" applyAlignment="1" applyProtection="1">
      <alignment horizontal="left" shrinkToFit="1"/>
      <protection hidden="1"/>
    </xf>
    <xf numFmtId="213" fontId="43" fillId="2" borderId="0" xfId="1" applyNumberFormat="1" applyFont="1" applyFill="1" applyBorder="1" applyProtection="1">
      <protection hidden="1"/>
    </xf>
    <xf numFmtId="191" fontId="127" fillId="2" borderId="45" xfId="1" applyNumberFormat="1" applyFont="1" applyFill="1" applyBorder="1" applyAlignment="1" applyProtection="1">
      <alignment horizontal="right" vertical="center" shrinkToFit="1"/>
      <protection hidden="1"/>
    </xf>
    <xf numFmtId="0" fontId="2" fillId="2" borderId="91" xfId="1" applyFont="1" applyFill="1" applyBorder="1" applyAlignment="1" applyProtection="1">
      <alignment vertical="center"/>
      <protection hidden="1"/>
    </xf>
    <xf numFmtId="49" fontId="2" fillId="13" borderId="76" xfId="1" applyNumberFormat="1" applyFont="1" applyFill="1" applyBorder="1" applyAlignment="1" applyProtection="1">
      <alignment horizontal="center" shrinkToFit="1"/>
      <protection hidden="1"/>
    </xf>
    <xf numFmtId="49" fontId="13" fillId="13" borderId="87" xfId="1" applyNumberFormat="1" applyFont="1" applyFill="1" applyBorder="1" applyAlignment="1" applyProtection="1">
      <alignment horizontal="center" vertical="center" shrinkToFit="1"/>
      <protection hidden="1"/>
    </xf>
    <xf numFmtId="49" fontId="13" fillId="13" borderId="77" xfId="1" applyNumberFormat="1" applyFont="1" applyFill="1" applyBorder="1" applyAlignment="1" applyProtection="1">
      <alignment horizontal="center" vertical="center" shrinkToFit="1"/>
      <protection hidden="1"/>
    </xf>
    <xf numFmtId="49" fontId="43" fillId="13" borderId="85" xfId="1" applyNumberFormat="1" applyFont="1" applyFill="1" applyBorder="1" applyAlignment="1" applyProtection="1">
      <alignment horizontal="center" vertical="center" shrinkToFit="1"/>
      <protection hidden="1"/>
    </xf>
    <xf numFmtId="49" fontId="43" fillId="13" borderId="78" xfId="1" applyNumberFormat="1" applyFont="1" applyFill="1" applyBorder="1" applyAlignment="1" applyProtection="1">
      <alignment horizontal="center" vertical="center" shrinkToFit="1"/>
      <protection hidden="1"/>
    </xf>
    <xf numFmtId="49" fontId="43" fillId="13" borderId="87" xfId="1" applyNumberFormat="1" applyFont="1" applyFill="1" applyBorder="1" applyAlignment="1" applyProtection="1">
      <alignment horizontal="center" vertical="center" shrinkToFit="1"/>
      <protection hidden="1"/>
    </xf>
    <xf numFmtId="49" fontId="2" fillId="13" borderId="60" xfId="1" applyNumberFormat="1" applyFont="1" applyFill="1" applyBorder="1" applyAlignment="1" applyProtection="1">
      <alignment horizontal="center" vertical="top" shrinkToFit="1"/>
      <protection hidden="1"/>
    </xf>
    <xf numFmtId="49" fontId="13" fillId="13" borderId="61" xfId="1" applyNumberFormat="1" applyFont="1" applyFill="1" applyBorder="1" applyAlignment="1" applyProtection="1">
      <alignment horizontal="center" vertical="top" shrinkToFit="1"/>
      <protection hidden="1"/>
    </xf>
    <xf numFmtId="49" fontId="43" fillId="13" borderId="68" xfId="1" applyNumberFormat="1" applyFont="1" applyFill="1" applyBorder="1" applyAlignment="1" applyProtection="1">
      <alignment horizontal="center" vertical="center" shrinkToFit="1"/>
      <protection hidden="1"/>
    </xf>
    <xf numFmtId="49" fontId="2" fillId="13" borderId="65" xfId="1" applyNumberFormat="1" applyFont="1" applyFill="1" applyBorder="1" applyAlignment="1" applyProtection="1">
      <alignment horizontal="center" vertical="center" shrinkToFit="1"/>
      <protection hidden="1"/>
    </xf>
    <xf numFmtId="49" fontId="2" fillId="13" borderId="69" xfId="1" applyNumberFormat="1" applyFont="1" applyFill="1" applyBorder="1" applyAlignment="1" applyProtection="1">
      <alignment horizontal="center" vertical="center" shrinkToFit="1"/>
      <protection hidden="1"/>
    </xf>
    <xf numFmtId="49" fontId="2" fillId="13" borderId="66" xfId="1" applyNumberFormat="1" applyFont="1" applyFill="1" applyBorder="1" applyAlignment="1" applyProtection="1">
      <alignment horizontal="center" vertical="center" wrapText="1" shrinkToFit="1"/>
      <protection hidden="1"/>
    </xf>
    <xf numFmtId="49" fontId="2" fillId="13" borderId="26" xfId="1" applyNumberFormat="1" applyFont="1" applyFill="1" applyBorder="1" applyAlignment="1" applyProtection="1">
      <alignment horizontal="center" vertical="center" shrinkToFit="1"/>
      <protection hidden="1"/>
    </xf>
    <xf numFmtId="49" fontId="43" fillId="13" borderId="66" xfId="1" applyNumberFormat="1" applyFont="1" applyFill="1" applyBorder="1" applyAlignment="1" applyProtection="1">
      <alignment horizontal="center" vertical="center" shrinkToFit="1"/>
      <protection hidden="1"/>
    </xf>
    <xf numFmtId="49" fontId="2" fillId="13" borderId="61" xfId="1" applyNumberFormat="1" applyFont="1" applyFill="1" applyBorder="1" applyAlignment="1" applyProtection="1">
      <alignment horizontal="center" vertical="center" wrapText="1" shrinkToFit="1"/>
      <protection hidden="1"/>
    </xf>
    <xf numFmtId="49" fontId="2" fillId="13" borderId="68" xfId="1" applyNumberFormat="1" applyFont="1" applyFill="1" applyBorder="1" applyAlignment="1" applyProtection="1">
      <alignment horizontal="center" vertical="center" shrinkToFit="1"/>
      <protection hidden="1"/>
    </xf>
    <xf numFmtId="49" fontId="2" fillId="13" borderId="66" xfId="1" applyNumberFormat="1" applyFont="1" applyFill="1" applyBorder="1" applyAlignment="1" applyProtection="1">
      <alignment horizontal="center" vertical="center" shrinkToFit="1"/>
      <protection hidden="1"/>
    </xf>
    <xf numFmtId="49" fontId="127" fillId="2" borderId="12" xfId="1" applyNumberFormat="1" applyFont="1" applyFill="1" applyBorder="1" applyAlignment="1" applyProtection="1">
      <alignment horizontal="center" shrinkToFit="1"/>
      <protection hidden="1"/>
    </xf>
    <xf numFmtId="185" fontId="2" fillId="6" borderId="44" xfId="1" applyNumberFormat="1" applyFont="1" applyFill="1" applyBorder="1" applyAlignment="1" applyProtection="1">
      <alignment horizontal="right" shrinkToFit="1"/>
      <protection hidden="1"/>
    </xf>
    <xf numFmtId="185" fontId="2" fillId="6" borderId="46" xfId="1" applyNumberFormat="1" applyFont="1" applyFill="1" applyBorder="1" applyAlignment="1" applyProtection="1">
      <alignment horizontal="right" shrinkToFit="1"/>
      <protection hidden="1"/>
    </xf>
    <xf numFmtId="185" fontId="2" fillId="6" borderId="106" xfId="1" applyNumberFormat="1" applyFont="1" applyFill="1" applyBorder="1" applyAlignment="1" applyProtection="1">
      <alignment horizontal="right" shrinkToFit="1"/>
      <protection hidden="1"/>
    </xf>
    <xf numFmtId="185" fontId="2" fillId="6" borderId="82" xfId="1" applyNumberFormat="1" applyFont="1" applyFill="1" applyBorder="1" applyAlignment="1" applyProtection="1">
      <alignment horizontal="right" shrinkToFit="1"/>
      <protection hidden="1"/>
    </xf>
    <xf numFmtId="185" fontId="46" fillId="6" borderId="106" xfId="1" applyNumberFormat="1" applyFont="1" applyFill="1" applyBorder="1" applyAlignment="1" applyProtection="1">
      <alignment horizontal="right" shrinkToFit="1"/>
      <protection hidden="1"/>
    </xf>
    <xf numFmtId="0" fontId="140" fillId="11" borderId="0" xfId="1" applyFont="1" applyFill="1" applyAlignment="1" applyProtection="1">
      <alignment horizontal="left" vertical="center" textRotation="90" shrinkToFit="1"/>
      <protection hidden="1"/>
    </xf>
    <xf numFmtId="216" fontId="7" fillId="2" borderId="46" xfId="1" applyNumberFormat="1" applyFont="1" applyFill="1" applyBorder="1" applyAlignment="1" applyProtection="1">
      <alignment horizontal="right" shrinkToFit="1"/>
      <protection hidden="1"/>
    </xf>
    <xf numFmtId="216" fontId="2" fillId="6" borderId="82" xfId="1" applyNumberFormat="1" applyFont="1" applyFill="1" applyBorder="1" applyAlignment="1" applyProtection="1">
      <alignment horizontal="right" shrinkToFit="1"/>
      <protection hidden="1"/>
    </xf>
    <xf numFmtId="216" fontId="2" fillId="6" borderId="46" xfId="1" applyNumberFormat="1" applyFont="1" applyFill="1" applyBorder="1" applyAlignment="1" applyProtection="1">
      <alignment horizontal="right" shrinkToFit="1"/>
      <protection hidden="1"/>
    </xf>
    <xf numFmtId="216" fontId="46" fillId="6" borderId="106" xfId="1" applyNumberFormat="1" applyFont="1" applyFill="1" applyBorder="1" applyAlignment="1" applyProtection="1">
      <alignment horizontal="right" shrinkToFit="1"/>
      <protection hidden="1"/>
    </xf>
    <xf numFmtId="49" fontId="127" fillId="2" borderId="12" xfId="1" applyNumberFormat="1" applyFont="1" applyFill="1" applyBorder="1" applyAlignment="1" applyProtection="1">
      <alignment horizontal="right" shrinkToFit="1"/>
      <protection hidden="1"/>
    </xf>
    <xf numFmtId="49" fontId="46" fillId="2" borderId="113" xfId="1" applyNumberFormat="1" applyFont="1" applyFill="1" applyBorder="1" applyAlignment="1" applyProtection="1">
      <alignment horizontal="center" shrinkToFit="1"/>
      <protection hidden="1"/>
    </xf>
    <xf numFmtId="185" fontId="2" fillId="6" borderId="117" xfId="1" applyNumberFormat="1" applyFont="1" applyFill="1" applyBorder="1" applyAlignment="1" applyProtection="1">
      <alignment horizontal="right" shrinkToFit="1"/>
      <protection hidden="1"/>
    </xf>
    <xf numFmtId="185" fontId="2" fillId="6" borderId="118" xfId="1" applyNumberFormat="1" applyFont="1" applyFill="1" applyBorder="1" applyAlignment="1" applyProtection="1">
      <alignment horizontal="right" shrinkToFit="1"/>
      <protection hidden="1"/>
    </xf>
    <xf numFmtId="185" fontId="2" fillId="6" borderId="119" xfId="1" applyNumberFormat="1" applyFont="1" applyFill="1" applyBorder="1" applyAlignment="1" applyProtection="1">
      <alignment horizontal="right" shrinkToFit="1"/>
      <protection hidden="1"/>
    </xf>
    <xf numFmtId="185" fontId="2" fillId="6" borderId="120" xfId="1" applyNumberFormat="1" applyFont="1" applyFill="1" applyBorder="1" applyAlignment="1" applyProtection="1">
      <alignment horizontal="right" shrinkToFit="1"/>
      <protection hidden="1"/>
    </xf>
    <xf numFmtId="185" fontId="46" fillId="6" borderId="119" xfId="1" applyNumberFormat="1" applyFont="1" applyFill="1" applyBorder="1" applyAlignment="1" applyProtection="1">
      <alignment horizontal="right" shrinkToFit="1"/>
      <protection hidden="1"/>
    </xf>
    <xf numFmtId="0" fontId="54" fillId="11" borderId="0" xfId="1" applyFill="1"/>
    <xf numFmtId="0" fontId="54" fillId="5" borderId="0" xfId="1" applyFill="1"/>
    <xf numFmtId="0" fontId="7" fillId="2" borderId="0" xfId="1" applyFont="1" applyFill="1" applyProtection="1">
      <protection hidden="1"/>
    </xf>
    <xf numFmtId="0" fontId="54" fillId="2" borderId="0" xfId="1" applyFill="1"/>
    <xf numFmtId="0" fontId="7" fillId="2" borderId="0" xfId="1" applyFont="1" applyFill="1" applyAlignment="1" applyProtection="1">
      <alignment vertical="top"/>
      <protection hidden="1"/>
    </xf>
    <xf numFmtId="213" fontId="148" fillId="2" borderId="0" xfId="1" applyNumberFormat="1" applyFont="1" applyFill="1" applyAlignment="1" applyProtection="1">
      <alignment horizontal="right" vertical="center"/>
      <protection locked="0"/>
    </xf>
    <xf numFmtId="49" fontId="43" fillId="6" borderId="23" xfId="1" applyNumberFormat="1" applyFont="1" applyFill="1" applyBorder="1" applyAlignment="1">
      <alignment horizontal="center" shrinkToFit="1"/>
    </xf>
    <xf numFmtId="49" fontId="43" fillId="6" borderId="110" xfId="1" applyNumberFormat="1" applyFont="1" applyFill="1" applyBorder="1" applyAlignment="1">
      <alignment horizontal="center" vertical="top" shrinkToFit="1"/>
    </xf>
    <xf numFmtId="49" fontId="43" fillId="13" borderId="14" xfId="1" applyNumberFormat="1" applyFont="1" applyFill="1" applyBorder="1" applyAlignment="1">
      <alignment horizontal="center" vertical="center" shrinkToFit="1"/>
    </xf>
    <xf numFmtId="185" fontId="36" fillId="6" borderId="14" xfId="1" applyNumberFormat="1" applyFont="1" applyFill="1" applyBorder="1" applyAlignment="1" applyProtection="1">
      <alignment horizontal="right" shrinkToFit="1"/>
      <protection locked="0"/>
    </xf>
    <xf numFmtId="185" fontId="41" fillId="2" borderId="14" xfId="1" applyNumberFormat="1" applyFont="1" applyFill="1" applyBorder="1" applyAlignment="1">
      <alignment horizontal="right" shrinkToFit="1"/>
    </xf>
    <xf numFmtId="201" fontId="36" fillId="13" borderId="14" xfId="1" applyNumberFormat="1" applyFont="1" applyFill="1" applyBorder="1" applyAlignment="1" applyProtection="1">
      <alignment horizontal="right"/>
      <protection locked="0"/>
    </xf>
    <xf numFmtId="216" fontId="41" fillId="2" borderId="14" xfId="1" applyNumberFormat="1" applyFont="1" applyFill="1" applyBorder="1" applyAlignment="1">
      <alignment horizontal="right" shrinkToFit="1"/>
    </xf>
    <xf numFmtId="185" fontId="41" fillId="2" borderId="14" xfId="1" applyNumberFormat="1" applyFont="1" applyFill="1" applyBorder="1" applyAlignment="1" applyProtection="1">
      <alignment horizontal="right" shrinkToFit="1"/>
      <protection hidden="1"/>
    </xf>
    <xf numFmtId="0" fontId="7" fillId="11" borderId="0" xfId="1" applyFont="1" applyFill="1"/>
    <xf numFmtId="0" fontId="20" fillId="2" borderId="6" xfId="0" applyNumberFormat="1" applyFont="1" applyFill="1" applyBorder="1" applyAlignment="1" applyProtection="1">
      <protection hidden="1"/>
    </xf>
    <xf numFmtId="0" fontId="20" fillId="2" borderId="4" xfId="0" applyNumberFormat="1" applyFont="1" applyFill="1" applyBorder="1" applyAlignment="1" applyProtection="1">
      <protection hidden="1"/>
    </xf>
    <xf numFmtId="0" fontId="23" fillId="2" borderId="4" xfId="0" applyNumberFormat="1" applyFont="1" applyFill="1" applyBorder="1" applyAlignment="1" applyProtection="1">
      <alignment horizontal="left" shrinkToFit="1"/>
      <protection hidden="1"/>
    </xf>
    <xf numFmtId="0" fontId="20" fillId="2" borderId="4" xfId="0" applyNumberFormat="1" applyFont="1" applyFill="1" applyBorder="1" applyAlignment="1" applyProtection="1">
      <alignment horizontal="right"/>
      <protection hidden="1"/>
    </xf>
    <xf numFmtId="0" fontId="27" fillId="2" borderId="19" xfId="0" applyNumberFormat="1" applyFont="1" applyFill="1" applyBorder="1" applyAlignment="1" applyProtection="1">
      <alignment horizontal="center"/>
      <protection hidden="1"/>
    </xf>
    <xf numFmtId="0" fontId="20" fillId="2" borderId="0" xfId="0" applyNumberFormat="1" applyFont="1" applyFill="1" applyBorder="1" applyAlignment="1" applyProtection="1">
      <alignment horizontal="right" vertical="center" shrinkToFit="1"/>
      <protection hidden="1"/>
    </xf>
    <xf numFmtId="0" fontId="27" fillId="2" borderId="7" xfId="0" applyNumberFormat="1" applyFont="1" applyFill="1" applyBorder="1" applyAlignment="1" applyProtection="1">
      <protection hidden="1"/>
    </xf>
    <xf numFmtId="0" fontId="33" fillId="3" borderId="0" xfId="0" applyNumberFormat="1" applyFont="1" applyFill="1" applyBorder="1" applyAlignment="1" applyProtection="1">
      <alignment horizontal="center" shrinkToFit="1"/>
      <protection hidden="1"/>
    </xf>
    <xf numFmtId="0" fontId="19" fillId="2" borderId="17" xfId="0" applyNumberFormat="1" applyFont="1" applyFill="1" applyBorder="1" applyAlignment="1" applyProtection="1">
      <alignment vertical="center"/>
      <protection hidden="1"/>
    </xf>
    <xf numFmtId="0" fontId="27" fillId="2" borderId="0" xfId="0" applyNumberFormat="1" applyFont="1" applyFill="1" applyBorder="1" applyAlignment="1" applyProtection="1">
      <alignment horizontal="center"/>
      <protection hidden="1"/>
    </xf>
    <xf numFmtId="0" fontId="23" fillId="2" borderId="7" xfId="0" applyNumberFormat="1" applyFont="1" applyFill="1" applyBorder="1" applyAlignment="1" applyProtection="1">
      <alignment shrinkToFit="1"/>
      <protection hidden="1"/>
    </xf>
    <xf numFmtId="183" fontId="72" fillId="2" borderId="46" xfId="2" applyNumberFormat="1" applyFont="1" applyFill="1" applyBorder="1" applyAlignment="1" applyProtection="1">
      <alignment horizontal="right" vertical="center"/>
      <protection locked="0"/>
    </xf>
    <xf numFmtId="210" fontId="36" fillId="2" borderId="46" xfId="2" applyNumberFormat="1" applyFont="1" applyFill="1" applyBorder="1" applyAlignment="1" applyProtection="1">
      <alignment horizontal="right" vertical="center"/>
      <protection locked="0"/>
    </xf>
    <xf numFmtId="0" fontId="29" fillId="5" borderId="14" xfId="0" applyFont="1" applyFill="1" applyBorder="1" applyAlignment="1" applyProtection="1">
      <alignment horizontal="center" shrinkToFit="1"/>
      <protection hidden="1"/>
    </xf>
    <xf numFmtId="0" fontId="29" fillId="5" borderId="0" xfId="0" applyFont="1" applyFill="1" applyAlignment="1" applyProtection="1">
      <alignment horizontal="center" shrinkToFit="1"/>
      <protection hidden="1"/>
    </xf>
    <xf numFmtId="0" fontId="23" fillId="2" borderId="4" xfId="0" applyNumberFormat="1" applyFont="1" applyFill="1" applyBorder="1" applyAlignment="1" applyProtection="1">
      <alignment vertical="top" shrinkToFit="1"/>
      <protection hidden="1"/>
    </xf>
    <xf numFmtId="0" fontId="23" fillId="2" borderId="4" xfId="0" applyNumberFormat="1" applyFont="1" applyFill="1" applyBorder="1" applyAlignment="1" applyProtection="1">
      <alignment vertical="center" shrinkToFit="1"/>
      <protection hidden="1"/>
    </xf>
    <xf numFmtId="0" fontId="15" fillId="2" borderId="4" xfId="0" applyNumberFormat="1" applyFont="1" applyFill="1" applyBorder="1" applyAlignment="1" applyProtection="1">
      <alignment shrinkToFit="1"/>
      <protection hidden="1"/>
    </xf>
    <xf numFmtId="0" fontId="157" fillId="2" borderId="4" xfId="0" applyNumberFormat="1" applyFont="1" applyFill="1" applyBorder="1" applyAlignment="1" applyProtection="1">
      <alignment shrinkToFit="1"/>
      <protection hidden="1"/>
    </xf>
    <xf numFmtId="0" fontId="157" fillId="2" borderId="4" xfId="0" applyNumberFormat="1" applyFont="1" applyFill="1" applyBorder="1" applyAlignment="1" applyProtection="1">
      <protection hidden="1"/>
    </xf>
    <xf numFmtId="0" fontId="161" fillId="2" borderId="6" xfId="0" applyNumberFormat="1" applyFont="1" applyFill="1" applyBorder="1" applyAlignment="1" applyProtection="1">
      <alignment vertical="center" shrinkToFit="1"/>
      <protection hidden="1"/>
    </xf>
    <xf numFmtId="0" fontId="161" fillId="2" borderId="4" xfId="0" applyNumberFormat="1" applyFont="1" applyFill="1" applyBorder="1" applyAlignment="1" applyProtection="1">
      <alignment vertical="center" shrinkToFit="1"/>
      <protection hidden="1"/>
    </xf>
    <xf numFmtId="0" fontId="161" fillId="2" borderId="5" xfId="0" applyNumberFormat="1" applyFont="1" applyFill="1" applyBorder="1" applyAlignment="1" applyProtection="1">
      <alignment vertical="center" shrinkToFit="1"/>
      <protection hidden="1"/>
    </xf>
    <xf numFmtId="0" fontId="23" fillId="4" borderId="19" xfId="0" applyNumberFormat="1" applyFont="1" applyFill="1" applyBorder="1" applyAlignment="1" applyProtection="1">
      <alignment shrinkToFit="1"/>
      <protection hidden="1"/>
    </xf>
    <xf numFmtId="0" fontId="20" fillId="4" borderId="6" xfId="0" applyNumberFormat="1" applyFont="1" applyFill="1" applyBorder="1" applyAlignment="1" applyProtection="1">
      <alignment shrinkToFit="1"/>
      <protection hidden="1"/>
    </xf>
    <xf numFmtId="0" fontId="23" fillId="4" borderId="4" xfId="0" applyNumberFormat="1" applyFont="1" applyFill="1" applyBorder="1" applyAlignment="1" applyProtection="1">
      <alignment vertical="top"/>
      <protection hidden="1"/>
    </xf>
    <xf numFmtId="0" fontId="23" fillId="4" borderId="4" xfId="0" applyNumberFormat="1" applyFont="1" applyFill="1" applyBorder="1" applyAlignment="1" applyProtection="1">
      <alignment vertical="top" wrapText="1"/>
      <protection hidden="1"/>
    </xf>
    <xf numFmtId="180" fontId="23" fillId="4" borderId="4" xfId="0" applyNumberFormat="1" applyFont="1" applyFill="1" applyBorder="1" applyAlignment="1" applyProtection="1">
      <alignment shrinkToFit="1"/>
      <protection hidden="1"/>
    </xf>
    <xf numFmtId="0" fontId="161" fillId="2" borderId="1" xfId="0" applyNumberFormat="1" applyFont="1" applyFill="1" applyBorder="1" applyAlignment="1" applyProtection="1">
      <alignment vertical="center" shrinkToFit="1"/>
      <protection hidden="1"/>
    </xf>
    <xf numFmtId="0" fontId="162" fillId="2" borderId="4" xfId="0" applyNumberFormat="1" applyFont="1" applyFill="1" applyBorder="1" applyAlignment="1" applyProtection="1">
      <alignment vertical="center" shrinkToFit="1"/>
      <protection hidden="1"/>
    </xf>
    <xf numFmtId="0" fontId="23" fillId="4" borderId="7" xfId="0" applyNumberFormat="1" applyFont="1" applyFill="1" applyBorder="1" applyAlignment="1" applyProtection="1">
      <alignment vertical="top" shrinkToFit="1"/>
      <protection hidden="1"/>
    </xf>
    <xf numFmtId="0" fontId="157" fillId="4" borderId="1" xfId="0" applyNumberFormat="1" applyFont="1" applyFill="1" applyBorder="1" applyAlignment="1" applyProtection="1">
      <alignment shrinkToFit="1"/>
      <protection hidden="1"/>
    </xf>
    <xf numFmtId="0" fontId="23" fillId="4" borderId="7" xfId="0" applyNumberFormat="1" applyFont="1" applyFill="1" applyBorder="1" applyAlignment="1" applyProtection="1">
      <alignment vertical="top"/>
      <protection hidden="1"/>
    </xf>
    <xf numFmtId="0" fontId="25" fillId="2" borderId="7" xfId="0" applyNumberFormat="1" applyFont="1" applyFill="1" applyBorder="1" applyAlignment="1" applyProtection="1">
      <alignment horizontal="center" vertical="top" shrinkToFit="1"/>
      <protection hidden="1"/>
    </xf>
    <xf numFmtId="0" fontId="20" fillId="2" borderId="17" xfId="0" applyNumberFormat="1" applyFont="1" applyFill="1" applyBorder="1" applyAlignment="1" applyProtection="1">
      <alignment vertical="center" shrinkToFit="1"/>
      <protection hidden="1"/>
    </xf>
    <xf numFmtId="0" fontId="23" fillId="4" borderId="4" xfId="0" applyNumberFormat="1" applyFont="1" applyFill="1" applyBorder="1" applyAlignment="1" applyProtection="1">
      <protection hidden="1"/>
    </xf>
    <xf numFmtId="185" fontId="7" fillId="5" borderId="0" xfId="0" applyNumberFormat="1" applyFont="1" applyFill="1" applyBorder="1" applyAlignment="1" applyProtection="1">
      <protection hidden="1"/>
    </xf>
    <xf numFmtId="0" fontId="0" fillId="5" borderId="14" xfId="0" applyFill="1" applyBorder="1" applyAlignment="1" applyProtection="1">
      <alignment horizontal="center" vertical="center" shrinkToFit="1"/>
      <protection hidden="1"/>
    </xf>
    <xf numFmtId="0" fontId="46" fillId="5" borderId="14" xfId="0" applyFont="1" applyFill="1" applyBorder="1" applyAlignment="1" applyProtection="1">
      <alignment horizontal="center" vertical="center" shrinkToFit="1"/>
      <protection hidden="1"/>
    </xf>
    <xf numFmtId="0" fontId="1" fillId="5" borderId="14" xfId="0" applyFont="1" applyFill="1" applyBorder="1" applyAlignment="1" applyProtection="1">
      <alignment horizontal="center" vertical="center" shrinkToFit="1"/>
      <protection hidden="1"/>
    </xf>
    <xf numFmtId="49" fontId="137" fillId="12" borderId="15" xfId="0" applyNumberFormat="1" applyFont="1" applyFill="1" applyBorder="1" applyAlignment="1" applyProtection="1">
      <alignment horizontal="center" vertical="center" shrinkToFit="1"/>
      <protection hidden="1"/>
    </xf>
    <xf numFmtId="49" fontId="149" fillId="12" borderId="15" xfId="0" applyNumberFormat="1" applyFont="1" applyFill="1" applyBorder="1" applyAlignment="1" applyProtection="1">
      <alignment horizontal="center" vertical="center" shrinkToFit="1"/>
      <protection hidden="1"/>
    </xf>
    <xf numFmtId="182" fontId="49" fillId="2" borderId="124" xfId="0" applyNumberFormat="1" applyFont="1" applyFill="1" applyBorder="1" applyAlignment="1" applyProtection="1">
      <alignment horizontal="right" vertical="center" shrinkToFit="1"/>
      <protection hidden="1"/>
    </xf>
    <xf numFmtId="187" fontId="49" fillId="2" borderId="86" xfId="0" applyNumberFormat="1" applyFont="1" applyFill="1" applyBorder="1" applyAlignment="1" applyProtection="1">
      <alignment horizontal="center" vertical="center" shrinkToFit="1"/>
      <protection hidden="1"/>
    </xf>
    <xf numFmtId="0" fontId="149" fillId="6" borderId="80" xfId="0" applyFont="1" applyFill="1" applyBorder="1" applyAlignment="1" applyProtection="1">
      <alignment horizontal="left" shrinkToFit="1"/>
      <protection hidden="1"/>
    </xf>
    <xf numFmtId="183" fontId="49" fillId="2" borderId="54" xfId="0" applyNumberFormat="1" applyFont="1" applyFill="1" applyBorder="1" applyAlignment="1" applyProtection="1">
      <alignment horizontal="center" vertical="center" shrinkToFit="1"/>
      <protection hidden="1"/>
    </xf>
    <xf numFmtId="0" fontId="43" fillId="6" borderId="49" xfId="0" applyFont="1" applyFill="1" applyBorder="1" applyAlignment="1" applyProtection="1">
      <alignment horizontal="left" vertical="top" wrapText="1"/>
      <protection hidden="1"/>
    </xf>
    <xf numFmtId="180" fontId="36" fillId="5" borderId="26" xfId="0" applyNumberFormat="1" applyFont="1" applyFill="1" applyBorder="1" applyAlignment="1" applyProtection="1">
      <alignment horizontal="right" vertical="center" shrinkToFit="1"/>
      <protection hidden="1"/>
    </xf>
    <xf numFmtId="195" fontId="36" fillId="5" borderId="26" xfId="0" applyNumberFormat="1" applyFont="1" applyFill="1" applyBorder="1" applyAlignment="1" applyProtection="1">
      <alignment horizontal="right" vertical="center" shrinkToFit="1"/>
      <protection hidden="1"/>
    </xf>
    <xf numFmtId="0" fontId="36" fillId="5" borderId="26" xfId="0" applyNumberFormat="1" applyFont="1" applyFill="1" applyBorder="1" applyAlignment="1" applyProtection="1">
      <alignment horizontal="right" vertical="center"/>
      <protection hidden="1"/>
    </xf>
    <xf numFmtId="188" fontId="36" fillId="5" borderId="26" xfId="0" applyNumberFormat="1" applyFont="1" applyFill="1" applyBorder="1" applyAlignment="1" applyProtection="1">
      <alignment horizontal="right" vertical="center" shrinkToFit="1"/>
      <protection hidden="1"/>
    </xf>
    <xf numFmtId="196" fontId="36" fillId="5" borderId="26" xfId="0" applyNumberFormat="1" applyFont="1" applyFill="1" applyBorder="1" applyAlignment="1" applyProtection="1">
      <alignment horizontal="right" vertical="center" shrinkToFit="1"/>
      <protection hidden="1"/>
    </xf>
    <xf numFmtId="0" fontId="7" fillId="2" borderId="97" xfId="0" applyNumberFormat="1" applyFont="1" applyFill="1" applyBorder="1" applyAlignment="1" applyProtection="1">
      <alignment horizontal="center" vertical="top" wrapText="1"/>
      <protection hidden="1"/>
    </xf>
    <xf numFmtId="49" fontId="170" fillId="2" borderId="101" xfId="0" applyNumberFormat="1" applyFont="1" applyFill="1" applyBorder="1" applyAlignment="1" applyProtection="1">
      <alignment horizontal="center" vertical="center" wrapText="1"/>
      <protection hidden="1"/>
    </xf>
    <xf numFmtId="183" fontId="49" fillId="2" borderId="124" xfId="0" applyNumberFormat="1" applyFont="1" applyFill="1" applyBorder="1" applyAlignment="1" applyProtection="1">
      <alignment horizontal="right" vertical="center" shrinkToFit="1"/>
      <protection hidden="1"/>
    </xf>
    <xf numFmtId="196" fontId="49" fillId="2" borderId="86" xfId="0" applyNumberFormat="1" applyFont="1" applyFill="1" applyBorder="1" applyAlignment="1" applyProtection="1">
      <alignment horizontal="center" vertical="center" shrinkToFit="1"/>
      <protection hidden="1"/>
    </xf>
    <xf numFmtId="183" fontId="49" fillId="2" borderId="6" xfId="0" applyNumberFormat="1" applyFont="1" applyFill="1" applyBorder="1" applyAlignment="1" applyProtection="1">
      <alignment horizontal="right" vertical="center" shrinkToFit="1"/>
      <protection hidden="1"/>
    </xf>
    <xf numFmtId="183" fontId="49" fillId="2" borderId="62" xfId="0" applyNumberFormat="1" applyFont="1" applyFill="1" applyBorder="1" applyAlignment="1" applyProtection="1">
      <alignment horizontal="right" vertical="center" shrinkToFit="1"/>
      <protection hidden="1"/>
    </xf>
    <xf numFmtId="0" fontId="43" fillId="2" borderId="49" xfId="0" applyFont="1" applyFill="1" applyBorder="1" applyAlignment="1" applyProtection="1">
      <alignment horizontal="left" vertical="top" wrapText="1"/>
      <protection hidden="1"/>
    </xf>
    <xf numFmtId="0" fontId="25" fillId="2" borderId="7" xfId="0" applyNumberFormat="1" applyFont="1" applyFill="1" applyBorder="1" applyAlignment="1" applyProtection="1">
      <alignment vertical="top" shrinkToFit="1"/>
      <protection hidden="1"/>
    </xf>
    <xf numFmtId="0" fontId="179" fillId="2" borderId="4" xfId="0" applyNumberFormat="1" applyFont="1" applyFill="1" applyBorder="1" applyAlignment="1" applyProtection="1">
      <alignment vertical="center" shrinkToFit="1"/>
      <protection hidden="1"/>
    </xf>
    <xf numFmtId="216" fontId="13" fillId="2" borderId="49" xfId="0" applyNumberFormat="1" applyFont="1" applyFill="1" applyBorder="1" applyAlignment="1" applyProtection="1">
      <alignment horizontal="left" shrinkToFit="1"/>
      <protection hidden="1"/>
    </xf>
    <xf numFmtId="0" fontId="1" fillId="5" borderId="0" xfId="0" applyFont="1" applyFill="1" applyAlignment="1" applyProtection="1">
      <alignment horizontal="center" vertical="center"/>
      <protection hidden="1"/>
    </xf>
    <xf numFmtId="0" fontId="181" fillId="5" borderId="0" xfId="0" applyFont="1" applyFill="1" applyAlignment="1" applyProtection="1">
      <alignment horizontal="center" vertical="center"/>
      <protection hidden="1"/>
    </xf>
    <xf numFmtId="0" fontId="23" fillId="2" borderId="8" xfId="0" applyNumberFormat="1" applyFont="1" applyFill="1" applyBorder="1" applyAlignment="1" applyProtection="1">
      <alignment shrinkToFit="1"/>
      <protection hidden="1"/>
    </xf>
    <xf numFmtId="0" fontId="20" fillId="18" borderId="4" xfId="0" applyNumberFormat="1" applyFont="1" applyFill="1" applyBorder="1" applyAlignment="1" applyProtection="1">
      <alignment vertical="center" shrinkToFit="1"/>
      <protection hidden="1"/>
    </xf>
    <xf numFmtId="0" fontId="20" fillId="19" borderId="4" xfId="0" applyNumberFormat="1" applyFont="1" applyFill="1" applyBorder="1" applyAlignment="1" applyProtection="1">
      <alignment vertical="center"/>
      <protection hidden="1"/>
    </xf>
    <xf numFmtId="0" fontId="20" fillId="19" borderId="4" xfId="0" applyNumberFormat="1" applyFont="1" applyFill="1" applyBorder="1" applyAlignment="1" applyProtection="1">
      <alignment vertical="center" shrinkToFit="1"/>
      <protection hidden="1"/>
    </xf>
    <xf numFmtId="0" fontId="20" fillId="19" borderId="5" xfId="0" applyNumberFormat="1" applyFont="1" applyFill="1" applyBorder="1" applyAlignment="1" applyProtection="1">
      <alignment vertical="center" shrinkToFit="1"/>
      <protection hidden="1"/>
    </xf>
    <xf numFmtId="0" fontId="20" fillId="19" borderId="6" xfId="0" applyNumberFormat="1" applyFont="1" applyFill="1" applyBorder="1" applyAlignment="1" applyProtection="1">
      <alignment horizontal="left"/>
      <protection hidden="1"/>
    </xf>
    <xf numFmtId="0" fontId="161" fillId="4" borderId="0" xfId="0" applyNumberFormat="1" applyFont="1" applyFill="1" applyBorder="1" applyAlignment="1" applyProtection="1">
      <alignment vertical="center" shrinkToFit="1"/>
      <protection hidden="1"/>
    </xf>
    <xf numFmtId="0" fontId="161" fillId="4" borderId="110" xfId="0" applyNumberFormat="1" applyFont="1" applyFill="1" applyBorder="1" applyAlignment="1" applyProtection="1">
      <alignment vertical="center" shrinkToFit="1"/>
      <protection hidden="1"/>
    </xf>
    <xf numFmtId="0" fontId="32" fillId="4" borderId="22" xfId="0" applyNumberFormat="1" applyFont="1" applyFill="1" applyBorder="1" applyAlignment="1" applyProtection="1">
      <alignment shrinkToFit="1"/>
      <protection locked="0"/>
    </xf>
    <xf numFmtId="0" fontId="32" fillId="4" borderId="17" xfId="0" applyNumberFormat="1" applyFont="1" applyFill="1" applyBorder="1" applyAlignment="1" applyProtection="1">
      <alignment shrinkToFit="1"/>
      <protection locked="0"/>
    </xf>
    <xf numFmtId="0" fontId="34" fillId="2" borderId="17" xfId="0" applyNumberFormat="1" applyFont="1" applyFill="1" applyBorder="1" applyAlignment="1" applyProtection="1">
      <alignment shrinkToFit="1"/>
      <protection locked="0"/>
    </xf>
    <xf numFmtId="213" fontId="159" fillId="3" borderId="14" xfId="0" applyNumberFormat="1" applyFont="1" applyFill="1" applyBorder="1" applyAlignment="1" applyProtection="1">
      <alignment horizontal="right" shrinkToFit="1"/>
      <protection locked="0"/>
    </xf>
    <xf numFmtId="0" fontId="26" fillId="4" borderId="22" xfId="0" applyNumberFormat="1" applyFont="1" applyFill="1" applyBorder="1" applyAlignment="1" applyProtection="1">
      <alignment horizontal="center" shrinkToFit="1"/>
      <protection locked="0"/>
    </xf>
    <xf numFmtId="213" fontId="26" fillId="3" borderId="16" xfId="0" applyNumberFormat="1" applyFont="1" applyFill="1" applyBorder="1" applyAlignment="1" applyProtection="1">
      <alignment horizontal="right" shrinkToFit="1"/>
      <protection locked="0"/>
    </xf>
    <xf numFmtId="0" fontId="33" fillId="3" borderId="14" xfId="0" applyNumberFormat="1" applyFont="1" applyFill="1" applyBorder="1" applyAlignment="1" applyProtection="1">
      <alignment horizontal="center" shrinkToFit="1"/>
      <protection locked="0"/>
    </xf>
    <xf numFmtId="0" fontId="15" fillId="2" borderId="0" xfId="0" applyFont="1" applyFill="1" applyBorder="1" applyAlignment="1" applyProtection="1">
      <alignment horizontal="left" vertical="top"/>
      <protection hidden="1"/>
    </xf>
    <xf numFmtId="0" fontId="31" fillId="2" borderId="15" xfId="0" applyFont="1" applyFill="1" applyBorder="1" applyAlignment="1" applyProtection="1">
      <alignment horizontal="center" shrinkToFit="1"/>
      <protection locked="0"/>
    </xf>
    <xf numFmtId="0" fontId="31" fillId="2" borderId="14" xfId="0" applyFont="1" applyFill="1" applyBorder="1" applyAlignment="1" applyProtection="1">
      <alignment horizontal="center"/>
      <protection locked="0"/>
    </xf>
    <xf numFmtId="0" fontId="31" fillId="2" borderId="15" xfId="0" applyFont="1" applyFill="1" applyBorder="1" applyAlignment="1" applyProtection="1">
      <alignment horizontal="center"/>
      <protection locked="0"/>
    </xf>
    <xf numFmtId="0" fontId="31" fillId="2" borderId="0" xfId="0" applyFont="1" applyFill="1" applyAlignment="1" applyProtection="1">
      <alignment horizontal="left" shrinkToFit="1"/>
      <protection locked="0"/>
    </xf>
    <xf numFmtId="0" fontId="31" fillId="2" borderId="0" xfId="0" applyFont="1" applyFill="1" applyAlignment="1" applyProtection="1">
      <alignment horizontal="left"/>
      <protection locked="0"/>
    </xf>
    <xf numFmtId="0" fontId="0" fillId="2" borderId="0" xfId="0" applyFill="1" applyProtection="1">
      <protection locked="0"/>
    </xf>
    <xf numFmtId="0" fontId="37" fillId="5" borderId="0" xfId="0" applyFont="1" applyFill="1" applyProtection="1">
      <protection hidden="1"/>
    </xf>
    <xf numFmtId="183" fontId="0" fillId="5" borderId="0" xfId="0" applyNumberFormat="1" applyFill="1" applyProtection="1">
      <protection hidden="1"/>
    </xf>
    <xf numFmtId="0" fontId="116" fillId="5" borderId="0" xfId="0" applyFont="1" applyFill="1" applyProtection="1">
      <protection hidden="1"/>
    </xf>
    <xf numFmtId="0" fontId="56" fillId="5" borderId="0" xfId="3" applyFont="1" applyFill="1" applyAlignment="1" applyProtection="1">
      <protection hidden="1"/>
    </xf>
    <xf numFmtId="184" fontId="0" fillId="5" borderId="0" xfId="0" applyNumberFormat="1" applyFill="1" applyProtection="1">
      <protection hidden="1"/>
    </xf>
    <xf numFmtId="0" fontId="0" fillId="5" borderId="0" xfId="0" applyFont="1" applyFill="1" applyProtection="1">
      <protection hidden="1"/>
    </xf>
    <xf numFmtId="0" fontId="46" fillId="5" borderId="0" xfId="0" applyFont="1" applyFill="1" applyProtection="1">
      <protection hidden="1"/>
    </xf>
    <xf numFmtId="0" fontId="0" fillId="5" borderId="0" xfId="0" applyFill="1" applyAlignment="1" applyProtection="1">
      <alignment wrapText="1"/>
      <protection hidden="1"/>
    </xf>
    <xf numFmtId="186" fontId="0" fillId="5" borderId="0" xfId="0" applyNumberFormat="1" applyFont="1" applyFill="1" applyProtection="1">
      <protection hidden="1"/>
    </xf>
    <xf numFmtId="0" fontId="7" fillId="5" borderId="0" xfId="0" applyNumberFormat="1" applyFont="1" applyFill="1" applyBorder="1" applyProtection="1">
      <protection hidden="1"/>
    </xf>
    <xf numFmtId="187" fontId="0" fillId="5" borderId="0" xfId="0" applyNumberFormat="1" applyFill="1" applyProtection="1">
      <protection hidden="1"/>
    </xf>
    <xf numFmtId="188" fontId="0" fillId="5" borderId="0" xfId="0" applyNumberFormat="1" applyFont="1" applyFill="1" applyAlignment="1" applyProtection="1">
      <alignment shrinkToFit="1"/>
      <protection hidden="1"/>
    </xf>
    <xf numFmtId="0" fontId="39" fillId="5" borderId="0" xfId="0" applyFont="1" applyFill="1" applyAlignment="1" applyProtection="1">
      <alignment horizontal="center"/>
      <protection hidden="1"/>
    </xf>
    <xf numFmtId="0" fontId="40" fillId="5" borderId="0" xfId="0" applyFont="1" applyFill="1" applyAlignment="1" applyProtection="1">
      <alignment horizontal="center"/>
      <protection hidden="1"/>
    </xf>
    <xf numFmtId="0" fontId="39" fillId="5" borderId="0" xfId="0" applyFont="1" applyFill="1" applyAlignment="1" applyProtection="1">
      <alignment horizontal="left"/>
      <protection hidden="1"/>
    </xf>
    <xf numFmtId="189" fontId="0" fillId="5" borderId="0" xfId="0" applyNumberFormat="1" applyFont="1" applyFill="1" applyProtection="1">
      <protection hidden="1"/>
    </xf>
    <xf numFmtId="0" fontId="0" fillId="2" borderId="27" xfId="0" applyFill="1" applyBorder="1" applyAlignment="1" applyProtection="1">
      <alignment horizontal="center"/>
      <protection hidden="1"/>
    </xf>
    <xf numFmtId="49" fontId="36" fillId="6" borderId="0" xfId="0" applyNumberFormat="1" applyFont="1" applyFill="1" applyBorder="1" applyAlignment="1" applyProtection="1">
      <alignment horizontal="right" vertical="center"/>
      <protection hidden="1"/>
    </xf>
    <xf numFmtId="184" fontId="1" fillId="5" borderId="0" xfId="0" applyNumberFormat="1" applyFont="1" applyFill="1" applyProtection="1">
      <protection hidden="1"/>
    </xf>
    <xf numFmtId="213" fontId="1" fillId="5" borderId="0" xfId="0" applyNumberFormat="1" applyFont="1" applyFill="1" applyProtection="1">
      <protection hidden="1"/>
    </xf>
    <xf numFmtId="184" fontId="43" fillId="6" borderId="123" xfId="0" applyNumberFormat="1" applyFont="1" applyFill="1" applyBorder="1" applyAlignment="1" applyProtection="1">
      <alignment horizontal="left" vertical="center" shrinkToFit="1"/>
      <protection hidden="1"/>
    </xf>
    <xf numFmtId="187" fontId="36" fillId="6" borderId="86" xfId="0" applyNumberFormat="1" applyFont="1" applyFill="1" applyBorder="1" applyAlignment="1" applyProtection="1">
      <alignment horizontal="right" vertical="center" shrinkToFit="1"/>
      <protection hidden="1"/>
    </xf>
    <xf numFmtId="191" fontId="36" fillId="6" borderId="86" xfId="0" applyNumberFormat="1" applyFont="1" applyFill="1" applyBorder="1" applyAlignment="1" applyProtection="1">
      <alignment horizontal="center" vertical="center"/>
      <protection hidden="1"/>
    </xf>
    <xf numFmtId="191" fontId="36" fillId="6" borderId="86" xfId="0" applyNumberFormat="1" applyFont="1" applyFill="1" applyBorder="1" applyAlignment="1" applyProtection="1">
      <alignment horizontal="right" vertical="center" shrinkToFit="1"/>
      <protection hidden="1"/>
    </xf>
    <xf numFmtId="185" fontId="36" fillId="6" borderId="86" xfId="0" applyNumberFormat="1" applyFont="1" applyFill="1" applyBorder="1" applyAlignment="1" applyProtection="1">
      <alignment horizontal="center" vertical="center"/>
      <protection hidden="1"/>
    </xf>
    <xf numFmtId="180" fontId="1" fillId="5" borderId="0" xfId="0" applyNumberFormat="1" applyFont="1" applyFill="1" applyAlignment="1" applyProtection="1">
      <alignment shrinkToFit="1"/>
      <protection hidden="1"/>
    </xf>
    <xf numFmtId="0" fontId="1" fillId="5" borderId="0" xfId="0" applyFont="1" applyFill="1" applyAlignment="1" applyProtection="1">
      <alignment horizontal="right" vertical="center" shrinkToFit="1"/>
      <protection hidden="1"/>
    </xf>
    <xf numFmtId="184" fontId="43" fillId="6" borderId="82" xfId="0" applyNumberFormat="1" applyFont="1" applyFill="1" applyBorder="1" applyAlignment="1" applyProtection="1">
      <alignment horizontal="left" vertical="center" shrinkToFit="1"/>
      <protection hidden="1"/>
    </xf>
    <xf numFmtId="187" fontId="36" fillId="6" borderId="42" xfId="0" applyNumberFormat="1" applyFont="1" applyFill="1" applyBorder="1" applyAlignment="1" applyProtection="1">
      <alignment horizontal="right" vertical="center" shrinkToFit="1"/>
      <protection hidden="1"/>
    </xf>
    <xf numFmtId="191" fontId="36" fillId="6" borderId="46" xfId="0" applyNumberFormat="1" applyFont="1" applyFill="1" applyBorder="1" applyAlignment="1" applyProtection="1">
      <alignment horizontal="center" vertical="center"/>
      <protection hidden="1"/>
    </xf>
    <xf numFmtId="191" fontId="36" fillId="6" borderId="46" xfId="0" applyNumberFormat="1" applyFont="1" applyFill="1" applyBorder="1" applyAlignment="1" applyProtection="1">
      <alignment horizontal="right" vertical="center" shrinkToFit="1"/>
      <protection hidden="1"/>
    </xf>
    <xf numFmtId="185" fontId="36" fillId="6" borderId="59" xfId="0" applyNumberFormat="1" applyFont="1" applyFill="1" applyBorder="1" applyAlignment="1" applyProtection="1">
      <alignment horizontal="center" vertical="center"/>
      <protection hidden="1"/>
    </xf>
    <xf numFmtId="187" fontId="36" fillId="6" borderId="46" xfId="0" applyNumberFormat="1" applyFont="1" applyFill="1" applyBorder="1" applyAlignment="1" applyProtection="1">
      <alignment horizontal="right" vertical="center" shrinkToFit="1"/>
      <protection hidden="1"/>
    </xf>
    <xf numFmtId="191" fontId="36" fillId="6" borderId="59" xfId="0" applyNumberFormat="1" applyFont="1" applyFill="1" applyBorder="1" applyAlignment="1" applyProtection="1">
      <alignment horizontal="center" vertical="center"/>
      <protection hidden="1"/>
    </xf>
    <xf numFmtId="183" fontId="36" fillId="6" borderId="56" xfId="0" applyNumberFormat="1" applyFont="1" applyFill="1" applyBorder="1" applyAlignment="1" applyProtection="1">
      <alignment horizontal="right" vertical="center" shrinkToFit="1"/>
      <protection hidden="1"/>
    </xf>
    <xf numFmtId="208" fontId="8" fillId="6" borderId="46" xfId="0" applyNumberFormat="1" applyFont="1" applyFill="1" applyBorder="1" applyAlignment="1" applyProtection="1">
      <alignment horizontal="center" vertical="center"/>
      <protection hidden="1"/>
    </xf>
    <xf numFmtId="202" fontId="36" fillId="6" borderId="46" xfId="0" applyNumberFormat="1" applyFont="1" applyFill="1" applyBorder="1" applyAlignment="1" applyProtection="1">
      <alignment horizontal="right" vertical="center" shrinkToFit="1"/>
      <protection hidden="1"/>
    </xf>
    <xf numFmtId="209" fontId="36" fillId="6" borderId="4" xfId="0" applyNumberFormat="1" applyFont="1" applyFill="1" applyBorder="1" applyAlignment="1" applyProtection="1">
      <alignment horizontal="right" vertical="center" shrinkToFit="1"/>
      <protection hidden="1"/>
    </xf>
    <xf numFmtId="183" fontId="36" fillId="6" borderId="59" xfId="0" applyNumberFormat="1" applyFont="1" applyFill="1" applyBorder="1" applyAlignment="1" applyProtection="1">
      <alignment horizontal="right" vertical="center" shrinkToFit="1"/>
      <protection hidden="1"/>
    </xf>
    <xf numFmtId="209" fontId="36" fillId="6" borderId="44" xfId="0" applyNumberFormat="1" applyFont="1" applyFill="1" applyBorder="1" applyAlignment="1" applyProtection="1">
      <alignment horizontal="right" vertical="center" shrinkToFit="1"/>
      <protection hidden="1"/>
    </xf>
    <xf numFmtId="0" fontId="13" fillId="6" borderId="49" xfId="0" applyFont="1" applyFill="1" applyBorder="1" applyAlignment="1" applyProtection="1">
      <alignment horizontal="left" vertical="top" wrapText="1"/>
      <protection hidden="1"/>
    </xf>
    <xf numFmtId="180" fontId="1" fillId="5" borderId="14" xfId="0" applyNumberFormat="1" applyFont="1" applyFill="1" applyBorder="1" applyAlignment="1" applyProtection="1">
      <alignment shrinkToFit="1"/>
      <protection hidden="1"/>
    </xf>
    <xf numFmtId="0" fontId="1" fillId="5" borderId="0" xfId="0" applyFont="1" applyFill="1" applyBorder="1" applyProtection="1">
      <protection hidden="1"/>
    </xf>
    <xf numFmtId="184" fontId="43" fillId="6" borderId="72" xfId="0" applyNumberFormat="1" applyFont="1" applyFill="1" applyBorder="1" applyAlignment="1" applyProtection="1">
      <alignment horizontal="left" vertical="center" shrinkToFit="1"/>
      <protection hidden="1"/>
    </xf>
    <xf numFmtId="187" fontId="36" fillId="6" borderId="69" xfId="0" applyNumberFormat="1" applyFont="1" applyFill="1" applyBorder="1" applyAlignment="1" applyProtection="1">
      <alignment horizontal="right" vertical="center" shrinkToFit="1"/>
      <protection hidden="1"/>
    </xf>
    <xf numFmtId="191" fontId="36" fillId="6" borderId="69" xfId="0" applyNumberFormat="1" applyFont="1" applyFill="1" applyBorder="1" applyAlignment="1" applyProtection="1">
      <alignment horizontal="center" vertical="center"/>
      <protection hidden="1"/>
    </xf>
    <xf numFmtId="191" fontId="36" fillId="6" borderId="69" xfId="0" applyNumberFormat="1" applyFont="1" applyFill="1" applyBorder="1" applyAlignment="1" applyProtection="1">
      <alignment horizontal="right" vertical="center" shrinkToFit="1"/>
      <protection hidden="1"/>
    </xf>
    <xf numFmtId="185" fontId="36" fillId="6" borderId="69" xfId="0" applyNumberFormat="1" applyFont="1" applyFill="1" applyBorder="1" applyAlignment="1" applyProtection="1">
      <alignment horizontal="center" vertical="center"/>
      <protection hidden="1"/>
    </xf>
    <xf numFmtId="0" fontId="13" fillId="6" borderId="73" xfId="0" applyFont="1" applyFill="1" applyBorder="1" applyAlignment="1" applyProtection="1">
      <alignment horizontal="left" vertical="top" wrapText="1"/>
      <protection hidden="1"/>
    </xf>
    <xf numFmtId="49" fontId="43" fillId="2" borderId="15" xfId="0" applyNumberFormat="1" applyFont="1" applyFill="1" applyBorder="1" applyAlignment="1" applyProtection="1">
      <alignment horizontal="left" vertical="center" shrinkToFit="1"/>
      <protection hidden="1"/>
    </xf>
    <xf numFmtId="216" fontId="36" fillId="6" borderId="86" xfId="0" applyNumberFormat="1" applyFont="1" applyFill="1" applyBorder="1" applyAlignment="1" applyProtection="1">
      <alignment horizontal="center" vertical="center"/>
      <protection hidden="1"/>
    </xf>
    <xf numFmtId="213" fontId="1" fillId="5" borderId="0" xfId="0" applyNumberFormat="1" applyFont="1" applyFill="1" applyAlignment="1" applyProtection="1">
      <alignment horizontal="right" vertical="center" shrinkToFit="1"/>
      <protection hidden="1"/>
    </xf>
    <xf numFmtId="216" fontId="36" fillId="6" borderId="59" xfId="0" applyNumberFormat="1" applyFont="1" applyFill="1" applyBorder="1" applyAlignment="1" applyProtection="1">
      <alignment horizontal="center" vertical="center"/>
      <protection hidden="1"/>
    </xf>
    <xf numFmtId="216" fontId="36" fillId="6" borderId="69" xfId="0" applyNumberFormat="1" applyFont="1" applyFill="1" applyBorder="1" applyAlignment="1" applyProtection="1">
      <alignment horizontal="center" vertical="center"/>
      <protection hidden="1"/>
    </xf>
    <xf numFmtId="216" fontId="13" fillId="2" borderId="49" xfId="0" applyNumberFormat="1" applyFont="1" applyFill="1" applyBorder="1" applyAlignment="1" applyProtection="1">
      <alignment horizontal="left" vertical="top" shrinkToFit="1"/>
      <protection hidden="1"/>
    </xf>
    <xf numFmtId="191" fontId="36" fillId="6" borderId="42" xfId="0" applyNumberFormat="1" applyFont="1" applyFill="1" applyBorder="1" applyAlignment="1" applyProtection="1">
      <alignment horizontal="right" vertical="center" shrinkToFit="1"/>
      <protection hidden="1"/>
    </xf>
    <xf numFmtId="0" fontId="164" fillId="6" borderId="73" xfId="0" applyFont="1" applyFill="1" applyBorder="1" applyAlignment="1" applyProtection="1">
      <alignment horizontal="left" vertical="top" wrapText="1"/>
      <protection hidden="1"/>
    </xf>
    <xf numFmtId="183" fontId="36" fillId="6" borderId="46" xfId="0" applyNumberFormat="1" applyFont="1" applyFill="1" applyBorder="1" applyAlignment="1" applyProtection="1">
      <alignment horizontal="right" vertical="center" shrinkToFit="1"/>
      <protection hidden="1"/>
    </xf>
    <xf numFmtId="0" fontId="0" fillId="5" borderId="0" xfId="0" applyFill="1" applyAlignment="1" applyProtection="1">
      <protection hidden="1"/>
    </xf>
    <xf numFmtId="0" fontId="43" fillId="6" borderId="49" xfId="0" applyFont="1" applyFill="1" applyBorder="1" applyAlignment="1" applyProtection="1">
      <alignment horizontal="left" shrinkToFit="1"/>
      <protection hidden="1"/>
    </xf>
    <xf numFmtId="0" fontId="43" fillId="6" borderId="80" xfId="0" applyFont="1" applyFill="1" applyBorder="1" applyAlignment="1" applyProtection="1">
      <alignment horizontal="left" shrinkToFit="1"/>
      <protection hidden="1"/>
    </xf>
    <xf numFmtId="0" fontId="13" fillId="6" borderId="49" xfId="0" applyFont="1" applyFill="1" applyBorder="1" applyAlignment="1" applyProtection="1">
      <alignment horizontal="left" vertical="top" shrinkToFit="1"/>
      <protection hidden="1"/>
    </xf>
    <xf numFmtId="0" fontId="43" fillId="6" borderId="49" xfId="0" applyFont="1" applyFill="1" applyBorder="1" applyAlignment="1" applyProtection="1">
      <alignment horizontal="left" vertical="top" shrinkToFit="1"/>
      <protection hidden="1"/>
    </xf>
    <xf numFmtId="0" fontId="7" fillId="11" borderId="0" xfId="1" applyFont="1" applyFill="1" applyProtection="1">
      <protection hidden="1"/>
    </xf>
    <xf numFmtId="0" fontId="46" fillId="2" borderId="38" xfId="1" applyFont="1" applyFill="1" applyBorder="1" applyAlignment="1" applyProtection="1">
      <alignment horizontal="right" vertical="center" shrinkToFit="1"/>
      <protection hidden="1"/>
    </xf>
    <xf numFmtId="212" fontId="46" fillId="2" borderId="34" xfId="1" applyNumberFormat="1" applyFont="1" applyFill="1" applyBorder="1" applyAlignment="1" applyProtection="1">
      <alignment horizontal="center" vertical="center" shrinkToFit="1"/>
      <protection hidden="1"/>
    </xf>
    <xf numFmtId="49" fontId="36" fillId="2" borderId="106" xfId="1" applyNumberFormat="1" applyFont="1" applyFill="1" applyBorder="1" applyAlignment="1" applyProtection="1">
      <alignment horizontal="center" shrinkToFit="1"/>
      <protection hidden="1"/>
    </xf>
    <xf numFmtId="49" fontId="2" fillId="2" borderId="6" xfId="1" applyNumberFormat="1" applyFont="1" applyFill="1" applyBorder="1" applyAlignment="1" applyProtection="1">
      <alignment horizontal="center" vertical="center" shrinkToFit="1"/>
      <protection hidden="1"/>
    </xf>
    <xf numFmtId="216" fontId="127" fillId="2" borderId="46" xfId="1" applyNumberFormat="1" applyFont="1" applyFill="1" applyBorder="1" applyAlignment="1" applyProtection="1">
      <alignment horizontal="right" shrinkToFit="1"/>
      <protection hidden="1"/>
    </xf>
    <xf numFmtId="213" fontId="13" fillId="2" borderId="106" xfId="1" applyNumberFormat="1" applyFont="1" applyFill="1" applyBorder="1" applyAlignment="1" applyProtection="1">
      <alignment horizontal="right" shrinkToFit="1"/>
      <protection hidden="1"/>
    </xf>
    <xf numFmtId="185" fontId="2" fillId="2" borderId="46" xfId="1" applyNumberFormat="1" applyFont="1" applyFill="1" applyBorder="1" applyAlignment="1" applyProtection="1">
      <alignment horizontal="right" shrinkToFit="1"/>
      <protection hidden="1"/>
    </xf>
    <xf numFmtId="185" fontId="2" fillId="2" borderId="82" xfId="1" applyNumberFormat="1" applyFont="1" applyFill="1" applyBorder="1" applyAlignment="1" applyProtection="1">
      <alignment horizontal="right" shrinkToFit="1"/>
      <protection hidden="1"/>
    </xf>
    <xf numFmtId="185" fontId="2" fillId="2" borderId="106" xfId="1" applyNumberFormat="1" applyFont="1" applyFill="1" applyBorder="1" applyAlignment="1" applyProtection="1">
      <alignment horizontal="right" shrinkToFit="1"/>
      <protection hidden="1"/>
    </xf>
    <xf numFmtId="185" fontId="46" fillId="2" borderId="22" xfId="1" applyNumberFormat="1" applyFont="1" applyFill="1" applyBorder="1" applyAlignment="1" applyProtection="1">
      <alignment horizontal="center" shrinkToFit="1"/>
      <protection hidden="1"/>
    </xf>
    <xf numFmtId="0" fontId="2" fillId="2" borderId="111" xfId="1" applyFont="1" applyFill="1" applyBorder="1" applyAlignment="1" applyProtection="1">
      <alignment horizontal="left" shrinkToFit="1"/>
      <protection hidden="1"/>
    </xf>
    <xf numFmtId="185" fontId="7" fillId="2" borderId="46" xfId="1" applyNumberFormat="1" applyFont="1" applyFill="1" applyBorder="1" applyAlignment="1" applyProtection="1">
      <alignment horizontal="right" shrinkToFit="1"/>
      <protection hidden="1"/>
    </xf>
    <xf numFmtId="216" fontId="2" fillId="2" borderId="82" xfId="1" applyNumberFormat="1" applyFont="1" applyFill="1" applyBorder="1" applyAlignment="1" applyProtection="1">
      <alignment horizontal="right" shrinkToFit="1"/>
      <protection hidden="1"/>
    </xf>
    <xf numFmtId="0" fontId="2" fillId="2" borderId="112" xfId="1" applyFont="1" applyFill="1" applyBorder="1" applyAlignment="1" applyProtection="1">
      <alignment horizontal="left" shrinkToFit="1"/>
      <protection hidden="1"/>
    </xf>
    <xf numFmtId="49" fontId="2" fillId="2" borderId="114" xfId="1" applyNumberFormat="1" applyFont="1" applyFill="1" applyBorder="1" applyAlignment="1" applyProtection="1">
      <alignment horizontal="center" vertical="center" shrinkToFit="1"/>
      <protection hidden="1"/>
    </xf>
    <xf numFmtId="216" fontId="127" fillId="2" borderId="118" xfId="1" applyNumberFormat="1" applyFont="1" applyFill="1" applyBorder="1" applyAlignment="1" applyProtection="1">
      <alignment horizontal="right" shrinkToFit="1"/>
      <protection hidden="1"/>
    </xf>
    <xf numFmtId="213" fontId="13" fillId="2" borderId="119" xfId="1" applyNumberFormat="1" applyFont="1" applyFill="1" applyBorder="1" applyAlignment="1" applyProtection="1">
      <alignment horizontal="right" shrinkToFit="1"/>
      <protection hidden="1"/>
    </xf>
    <xf numFmtId="185" fontId="2" fillId="2" borderId="118" xfId="1" applyNumberFormat="1" applyFont="1" applyFill="1" applyBorder="1" applyAlignment="1" applyProtection="1">
      <alignment horizontal="right" shrinkToFit="1"/>
      <protection hidden="1"/>
    </xf>
    <xf numFmtId="185" fontId="2" fillId="2" borderId="120" xfId="1" applyNumberFormat="1" applyFont="1" applyFill="1" applyBorder="1" applyAlignment="1" applyProtection="1">
      <alignment horizontal="right" shrinkToFit="1"/>
      <protection hidden="1"/>
    </xf>
    <xf numFmtId="185" fontId="2" fillId="2" borderId="119" xfId="1" applyNumberFormat="1" applyFont="1" applyFill="1" applyBorder="1" applyAlignment="1" applyProtection="1">
      <alignment horizontal="right" shrinkToFit="1"/>
      <protection hidden="1"/>
    </xf>
    <xf numFmtId="185" fontId="46" fillId="2" borderId="121" xfId="1" applyNumberFormat="1" applyFont="1" applyFill="1" applyBorder="1" applyAlignment="1" applyProtection="1">
      <alignment horizontal="center" shrinkToFit="1"/>
      <protection hidden="1"/>
    </xf>
    <xf numFmtId="0" fontId="2" fillId="2" borderId="122" xfId="1" applyFont="1" applyFill="1" applyBorder="1" applyAlignment="1" applyProtection="1">
      <alignment horizontal="left" shrinkToFit="1"/>
      <protection hidden="1"/>
    </xf>
    <xf numFmtId="0" fontId="7" fillId="11" borderId="28" xfId="1" applyFont="1" applyFill="1" applyBorder="1" applyProtection="1">
      <protection hidden="1"/>
    </xf>
    <xf numFmtId="0" fontId="185" fillId="2" borderId="4" xfId="0" applyNumberFormat="1" applyFont="1" applyFill="1" applyBorder="1" applyAlignment="1" applyProtection="1">
      <alignment horizontal="center" shrinkToFit="1"/>
      <protection hidden="1"/>
    </xf>
    <xf numFmtId="0" fontId="184" fillId="2" borderId="4" xfId="0" applyNumberFormat="1" applyFont="1" applyFill="1" applyBorder="1" applyAlignment="1" applyProtection="1">
      <alignment vertical="top" shrinkToFit="1"/>
      <protection hidden="1"/>
    </xf>
    <xf numFmtId="0" fontId="24" fillId="4" borderId="4" xfId="0" applyNumberFormat="1" applyFont="1" applyFill="1" applyBorder="1" applyAlignment="1" applyProtection="1">
      <alignment vertical="center" shrinkToFit="1"/>
      <protection hidden="1"/>
    </xf>
    <xf numFmtId="0" fontId="20" fillId="4" borderId="4" xfId="0" applyNumberFormat="1" applyFont="1" applyFill="1" applyBorder="1" applyAlignment="1" applyProtection="1">
      <alignment vertical="center" shrinkToFit="1"/>
      <protection hidden="1"/>
    </xf>
    <xf numFmtId="0" fontId="179" fillId="2" borderId="7" xfId="0" applyNumberFormat="1" applyFont="1" applyFill="1" applyBorder="1" applyAlignment="1" applyProtection="1">
      <alignment vertical="top" wrapText="1"/>
      <protection hidden="1"/>
    </xf>
    <xf numFmtId="0" fontId="20" fillId="4" borderId="17" xfId="0" applyNumberFormat="1" applyFont="1" applyFill="1" applyBorder="1" applyAlignment="1" applyProtection="1">
      <alignment vertical="center" shrinkToFit="1"/>
      <protection hidden="1"/>
    </xf>
    <xf numFmtId="0" fontId="29" fillId="2" borderId="17" xfId="0" applyNumberFormat="1" applyFont="1" applyFill="1" applyBorder="1" applyAlignment="1" applyProtection="1">
      <alignment horizontal="right" vertical="center" shrinkToFit="1"/>
      <protection hidden="1"/>
    </xf>
    <xf numFmtId="0" fontId="189" fillId="2" borderId="4" xfId="0" applyNumberFormat="1" applyFont="1" applyFill="1" applyBorder="1" applyAlignment="1" applyProtection="1">
      <alignment vertical="center" shrinkToFit="1"/>
      <protection hidden="1"/>
    </xf>
    <xf numFmtId="186" fontId="23" fillId="2" borderId="4" xfId="0" applyNumberFormat="1" applyFont="1" applyFill="1" applyBorder="1" applyAlignment="1" applyProtection="1">
      <alignment vertical="top" shrinkToFit="1"/>
      <protection hidden="1"/>
    </xf>
    <xf numFmtId="186" fontId="23" fillId="2" borderId="4" xfId="0" applyNumberFormat="1" applyFont="1" applyFill="1" applyBorder="1" applyAlignment="1" applyProtection="1">
      <alignment vertical="center" shrinkToFit="1"/>
      <protection hidden="1"/>
    </xf>
    <xf numFmtId="186" fontId="23" fillId="4" borderId="22" xfId="0" applyNumberFormat="1" applyFont="1" applyFill="1" applyBorder="1" applyAlignment="1" applyProtection="1">
      <alignment shrinkToFit="1"/>
      <protection hidden="1"/>
    </xf>
    <xf numFmtId="186" fontId="23" fillId="2" borderId="1" xfId="0" applyNumberFormat="1" applyFont="1" applyFill="1" applyBorder="1" applyAlignment="1" applyProtection="1">
      <alignment vertical="center" shrinkToFit="1"/>
      <protection hidden="1"/>
    </xf>
    <xf numFmtId="188" fontId="23" fillId="4" borderId="4" xfId="0" applyNumberFormat="1" applyFont="1" applyFill="1" applyBorder="1" applyAlignment="1" applyProtection="1">
      <alignment horizontal="right" shrinkToFit="1"/>
      <protection hidden="1"/>
    </xf>
    <xf numFmtId="188" fontId="162" fillId="4" borderId="4" xfId="0" applyNumberFormat="1" applyFont="1" applyFill="1" applyBorder="1" applyAlignment="1" applyProtection="1">
      <alignment horizontal="right" shrinkToFit="1"/>
      <protection hidden="1"/>
    </xf>
    <xf numFmtId="0" fontId="0" fillId="5" borderId="0" xfId="0" applyFill="1" applyAlignment="1" applyProtection="1">
      <alignment horizontal="center"/>
      <protection hidden="1"/>
    </xf>
    <xf numFmtId="0" fontId="20" fillId="19" borderId="4" xfId="0" applyNumberFormat="1" applyFont="1" applyFill="1" applyBorder="1" applyAlignment="1" applyProtection="1">
      <alignment horizontal="left"/>
      <protection hidden="1"/>
    </xf>
    <xf numFmtId="0" fontId="20" fillId="19" borderId="5" xfId="0" applyNumberFormat="1" applyFont="1" applyFill="1" applyBorder="1" applyAlignment="1" applyProtection="1">
      <alignment horizontal="left"/>
      <protection hidden="1"/>
    </xf>
    <xf numFmtId="0" fontId="20" fillId="2" borderId="4" xfId="0" applyNumberFormat="1" applyFont="1" applyFill="1" applyBorder="1" applyAlignment="1" applyProtection="1">
      <alignment horizontal="right" shrinkToFit="1"/>
      <protection hidden="1"/>
    </xf>
    <xf numFmtId="216" fontId="162" fillId="16" borderId="14" xfId="0" applyNumberFormat="1" applyFont="1" applyFill="1" applyBorder="1" applyAlignment="1" applyProtection="1">
      <alignment horizontal="center" shrinkToFit="1"/>
      <protection hidden="1"/>
    </xf>
    <xf numFmtId="216" fontId="162" fillId="16" borderId="14" xfId="0" applyNumberFormat="1" applyFont="1" applyFill="1" applyBorder="1" applyAlignment="1" applyProtection="1">
      <alignment horizontal="center" vertical="center" shrinkToFit="1"/>
      <protection hidden="1"/>
    </xf>
    <xf numFmtId="216" fontId="162" fillId="16" borderId="15" xfId="0" applyNumberFormat="1" applyFont="1" applyFill="1" applyBorder="1" applyAlignment="1" applyProtection="1">
      <alignment horizontal="center" vertical="center" shrinkToFit="1"/>
      <protection hidden="1"/>
    </xf>
    <xf numFmtId="216" fontId="162" fillId="16" borderId="21" xfId="0" applyNumberFormat="1" applyFont="1" applyFill="1" applyBorder="1" applyAlignment="1" applyProtection="1">
      <alignment horizontal="center" vertical="center" shrinkToFit="1"/>
      <protection hidden="1"/>
    </xf>
    <xf numFmtId="216" fontId="162" fillId="16" borderId="16" xfId="0" applyNumberFormat="1" applyFont="1" applyFill="1" applyBorder="1" applyAlignment="1" applyProtection="1">
      <alignment horizontal="center" vertical="center" shrinkToFit="1"/>
      <protection hidden="1"/>
    </xf>
    <xf numFmtId="185" fontId="188" fillId="15" borderId="15" xfId="0" applyNumberFormat="1" applyFont="1" applyFill="1" applyBorder="1" applyAlignment="1" applyProtection="1">
      <alignment horizontal="right" shrinkToFit="1"/>
      <protection hidden="1"/>
    </xf>
    <xf numFmtId="185" fontId="188" fillId="15" borderId="16" xfId="0" applyNumberFormat="1" applyFont="1" applyFill="1" applyBorder="1" applyAlignment="1" applyProtection="1">
      <alignment horizontal="right" shrinkToFit="1"/>
      <protection hidden="1"/>
    </xf>
    <xf numFmtId="0" fontId="190" fillId="2" borderId="24" xfId="0" applyNumberFormat="1" applyFont="1" applyFill="1" applyBorder="1" applyAlignment="1" applyProtection="1">
      <alignment horizontal="center" wrapText="1" shrinkToFit="1"/>
      <protection hidden="1"/>
    </xf>
    <xf numFmtId="0" fontId="190" fillId="2" borderId="78" xfId="0" applyNumberFormat="1" applyFont="1" applyFill="1" applyBorder="1" applyAlignment="1" applyProtection="1">
      <alignment horizontal="center" wrapText="1" shrinkToFit="1"/>
      <protection hidden="1"/>
    </xf>
    <xf numFmtId="0" fontId="190" fillId="2" borderId="25" xfId="0" applyNumberFormat="1" applyFont="1" applyFill="1" applyBorder="1" applyAlignment="1" applyProtection="1">
      <alignment horizontal="center" wrapText="1" shrinkToFit="1"/>
      <protection hidden="1"/>
    </xf>
    <xf numFmtId="0" fontId="190" fillId="2" borderId="48" xfId="0" applyNumberFormat="1" applyFont="1" applyFill="1" applyBorder="1" applyAlignment="1" applyProtection="1">
      <alignment horizontal="center" wrapText="1" shrinkToFit="1"/>
      <protection hidden="1"/>
    </xf>
    <xf numFmtId="0" fontId="190" fillId="2" borderId="0" xfId="0" applyNumberFormat="1" applyFont="1" applyFill="1" applyBorder="1" applyAlignment="1" applyProtection="1">
      <alignment horizontal="center" wrapText="1" shrinkToFit="1"/>
      <protection hidden="1"/>
    </xf>
    <xf numFmtId="0" fontId="190" fillId="2" borderId="43" xfId="0" applyNumberFormat="1" applyFont="1" applyFill="1" applyBorder="1" applyAlignment="1" applyProtection="1">
      <alignment horizontal="center" wrapText="1" shrinkToFit="1"/>
      <protection hidden="1"/>
    </xf>
    <xf numFmtId="0" fontId="20" fillId="2" borderId="125" xfId="0" applyNumberFormat="1" applyFont="1" applyFill="1" applyBorder="1" applyAlignment="1" applyProtection="1">
      <alignment horizontal="right" shrinkToFit="1"/>
      <protection hidden="1"/>
    </xf>
    <xf numFmtId="0" fontId="20" fillId="2" borderId="126" xfId="0" applyNumberFormat="1" applyFont="1" applyFill="1" applyBorder="1" applyAlignment="1" applyProtection="1">
      <alignment horizontal="right" shrinkToFit="1"/>
      <protection hidden="1"/>
    </xf>
    <xf numFmtId="0" fontId="23" fillId="18" borderId="4" xfId="0" applyNumberFormat="1" applyFont="1" applyFill="1" applyBorder="1" applyAlignment="1" applyProtection="1">
      <alignment horizontal="right" shrinkToFit="1"/>
      <protection hidden="1"/>
    </xf>
    <xf numFmtId="180" fontId="182" fillId="18" borderId="4" xfId="0" applyNumberFormat="1" applyFont="1" applyFill="1" applyBorder="1" applyAlignment="1" applyProtection="1">
      <alignment horizontal="left" shrinkToFit="1"/>
      <protection hidden="1"/>
    </xf>
    <xf numFmtId="216" fontId="182" fillId="15" borderId="14" xfId="0" applyNumberFormat="1" applyFont="1" applyFill="1" applyBorder="1" applyAlignment="1" applyProtection="1">
      <alignment horizontal="center" shrinkToFit="1"/>
      <protection hidden="1"/>
    </xf>
    <xf numFmtId="0" fontId="161" fillId="2" borderId="6" xfId="0" applyNumberFormat="1" applyFont="1" applyFill="1" applyBorder="1" applyAlignment="1" applyProtection="1">
      <alignment horizontal="center" vertical="center" shrinkToFit="1"/>
      <protection hidden="1"/>
    </xf>
    <xf numFmtId="0" fontId="161" fillId="2" borderId="4" xfId="0" applyNumberFormat="1" applyFont="1" applyFill="1" applyBorder="1" applyAlignment="1" applyProtection="1">
      <alignment horizontal="center" vertical="center" shrinkToFit="1"/>
      <protection hidden="1"/>
    </xf>
    <xf numFmtId="0" fontId="161" fillId="2" borderId="1" xfId="0" applyNumberFormat="1" applyFont="1" applyFill="1" applyBorder="1" applyAlignment="1" applyProtection="1">
      <alignment horizontal="center" vertical="center" shrinkToFit="1"/>
      <protection hidden="1"/>
    </xf>
    <xf numFmtId="0" fontId="161" fillId="2" borderId="5" xfId="0" applyNumberFormat="1" applyFont="1" applyFill="1" applyBorder="1" applyAlignment="1" applyProtection="1">
      <alignment horizontal="center" vertical="center" shrinkToFit="1"/>
      <protection hidden="1"/>
    </xf>
    <xf numFmtId="180" fontId="23" fillId="4" borderId="7" xfId="0" applyNumberFormat="1" applyFont="1" applyFill="1" applyBorder="1" applyAlignment="1" applyProtection="1">
      <alignment horizontal="center" shrinkToFit="1"/>
      <protection hidden="1"/>
    </xf>
    <xf numFmtId="188" fontId="23" fillId="15" borderId="14" xfId="0" applyNumberFormat="1" applyFont="1" applyFill="1" applyBorder="1" applyAlignment="1" applyProtection="1">
      <alignment horizontal="right" shrinkToFit="1"/>
      <protection hidden="1"/>
    </xf>
    <xf numFmtId="185" fontId="34" fillId="15" borderId="14" xfId="0" applyNumberFormat="1" applyFont="1" applyFill="1" applyBorder="1" applyAlignment="1" applyProtection="1">
      <alignment horizontal="center" shrinkToFit="1"/>
      <protection hidden="1"/>
    </xf>
    <xf numFmtId="185" fontId="34" fillId="15" borderId="15" xfId="0" applyNumberFormat="1" applyFont="1" applyFill="1" applyBorder="1" applyAlignment="1" applyProtection="1">
      <alignment horizontal="center" shrinkToFit="1"/>
      <protection hidden="1"/>
    </xf>
    <xf numFmtId="185" fontId="34" fillId="15" borderId="16" xfId="0" applyNumberFormat="1" applyFont="1" applyFill="1" applyBorder="1" applyAlignment="1" applyProtection="1">
      <alignment horizontal="center" shrinkToFit="1"/>
      <protection hidden="1"/>
    </xf>
    <xf numFmtId="216" fontId="162" fillId="16" borderId="15" xfId="0" applyNumberFormat="1" applyFont="1" applyFill="1" applyBorder="1" applyAlignment="1" applyProtection="1">
      <alignment horizontal="right" shrinkToFit="1"/>
      <protection hidden="1"/>
    </xf>
    <xf numFmtId="216" fontId="162" fillId="16" borderId="16" xfId="0" applyNumberFormat="1" applyFont="1" applyFill="1" applyBorder="1" applyAlignment="1" applyProtection="1">
      <alignment horizontal="right" shrinkToFit="1"/>
      <protection hidden="1"/>
    </xf>
    <xf numFmtId="216" fontId="162" fillId="16" borderId="15" xfId="0" applyNumberFormat="1" applyFont="1" applyFill="1" applyBorder="1" applyAlignment="1" applyProtection="1">
      <alignment horizontal="center" shrinkToFit="1"/>
      <protection hidden="1"/>
    </xf>
    <xf numFmtId="216" fontId="162" fillId="16" borderId="16" xfId="0" applyNumberFormat="1" applyFont="1" applyFill="1" applyBorder="1" applyAlignment="1" applyProtection="1">
      <alignment horizontal="center" shrinkToFit="1"/>
      <protection hidden="1"/>
    </xf>
    <xf numFmtId="0" fontId="187" fillId="2" borderId="7" xfId="0" applyNumberFormat="1" applyFont="1" applyFill="1" applyBorder="1" applyAlignment="1" applyProtection="1">
      <alignment horizontal="right" vertical="top" shrinkToFit="1"/>
      <protection hidden="1"/>
    </xf>
    <xf numFmtId="0" fontId="179" fillId="2" borderId="19" xfId="0" applyNumberFormat="1" applyFont="1" applyFill="1" applyBorder="1" applyAlignment="1" applyProtection="1">
      <alignment horizontal="center" vertical="top" wrapText="1"/>
      <protection hidden="1"/>
    </xf>
    <xf numFmtId="0" fontId="185" fillId="2" borderId="4" xfId="0" applyNumberFormat="1" applyFont="1" applyFill="1" applyBorder="1" applyAlignment="1" applyProtection="1">
      <alignment horizontal="center" shrinkToFit="1"/>
      <protection hidden="1"/>
    </xf>
    <xf numFmtId="217" fontId="184" fillId="2" borderId="4" xfId="0" applyNumberFormat="1" applyFont="1" applyFill="1" applyBorder="1" applyAlignment="1" applyProtection="1">
      <alignment horizontal="left" shrinkToFit="1"/>
      <protection hidden="1"/>
    </xf>
    <xf numFmtId="217" fontId="184" fillId="2" borderId="5" xfId="0" applyNumberFormat="1" applyFont="1" applyFill="1" applyBorder="1" applyAlignment="1" applyProtection="1">
      <alignment horizontal="left" shrinkToFit="1"/>
      <protection hidden="1"/>
    </xf>
    <xf numFmtId="0" fontId="27" fillId="2" borderId="19" xfId="0" applyNumberFormat="1" applyFont="1" applyFill="1" applyBorder="1" applyAlignment="1" applyProtection="1">
      <alignment horizontal="center" shrinkToFit="1"/>
      <protection hidden="1"/>
    </xf>
    <xf numFmtId="0" fontId="27" fillId="2" borderId="4" xfId="0" applyNumberFormat="1" applyFont="1" applyFill="1" applyBorder="1" applyAlignment="1" applyProtection="1">
      <alignment horizontal="center" shrinkToFit="1"/>
      <protection hidden="1"/>
    </xf>
    <xf numFmtId="0" fontId="156" fillId="2" borderId="4" xfId="0" applyNumberFormat="1" applyFont="1" applyFill="1" applyBorder="1" applyAlignment="1" applyProtection="1">
      <alignment horizontal="center" shrinkToFit="1"/>
      <protection hidden="1"/>
    </xf>
    <xf numFmtId="0" fontId="160" fillId="3" borderId="14" xfId="0" applyNumberFormat="1" applyFont="1" applyFill="1" applyBorder="1" applyAlignment="1" applyProtection="1">
      <alignment horizontal="center" shrinkToFit="1"/>
      <protection locked="0"/>
    </xf>
    <xf numFmtId="0" fontId="23" fillId="10" borderId="4" xfId="0" applyNumberFormat="1" applyFont="1" applyFill="1" applyBorder="1" applyAlignment="1" applyProtection="1">
      <alignment horizontal="center" vertical="center" shrinkToFit="1"/>
      <protection hidden="1"/>
    </xf>
    <xf numFmtId="0" fontId="20" fillId="10" borderId="4" xfId="0" applyNumberFormat="1" applyFont="1" applyFill="1" applyBorder="1" applyAlignment="1" applyProtection="1">
      <alignment horizontal="center" vertical="center" shrinkToFit="1"/>
      <protection hidden="1"/>
    </xf>
    <xf numFmtId="218" fontId="158" fillId="15" borderId="15" xfId="0" applyNumberFormat="1" applyFont="1" applyFill="1" applyBorder="1" applyAlignment="1" applyProtection="1">
      <alignment horizontal="right" shrinkToFit="1"/>
      <protection hidden="1"/>
    </xf>
    <xf numFmtId="218" fontId="158" fillId="15" borderId="16" xfId="0" applyNumberFormat="1" applyFont="1" applyFill="1" applyBorder="1" applyAlignment="1" applyProtection="1">
      <alignment horizontal="right" shrinkToFit="1"/>
      <protection hidden="1"/>
    </xf>
    <xf numFmtId="180" fontId="26" fillId="15" borderId="15" xfId="0" applyNumberFormat="1" applyFont="1" applyFill="1" applyBorder="1" applyAlignment="1" applyProtection="1">
      <alignment horizontal="right" shrinkToFit="1"/>
      <protection hidden="1"/>
    </xf>
    <xf numFmtId="180" fontId="26" fillId="15" borderId="16" xfId="0" applyNumberFormat="1" applyFont="1" applyFill="1" applyBorder="1" applyAlignment="1" applyProtection="1">
      <alignment horizontal="right" shrinkToFit="1"/>
      <protection hidden="1"/>
    </xf>
    <xf numFmtId="0" fontId="27" fillId="2" borderId="4" xfId="0" applyNumberFormat="1" applyFont="1" applyFill="1" applyBorder="1" applyAlignment="1" applyProtection="1">
      <alignment horizontal="right" shrinkToFit="1"/>
      <protection hidden="1"/>
    </xf>
    <xf numFmtId="181" fontId="26" fillId="3" borderId="14" xfId="0" applyNumberFormat="1" applyFont="1" applyFill="1" applyBorder="1" applyAlignment="1" applyProtection="1">
      <alignment horizontal="right" shrinkToFit="1"/>
      <protection locked="0"/>
    </xf>
    <xf numFmtId="216" fontId="26" fillId="3" borderId="15" xfId="0" applyNumberFormat="1" applyFont="1" applyFill="1" applyBorder="1" applyAlignment="1" applyProtection="1">
      <alignment horizontal="right" shrinkToFit="1"/>
      <protection locked="0"/>
    </xf>
    <xf numFmtId="216" fontId="26" fillId="3" borderId="16" xfId="0" applyNumberFormat="1" applyFont="1" applyFill="1" applyBorder="1" applyAlignment="1" applyProtection="1">
      <alignment horizontal="right" shrinkToFit="1"/>
      <protection locked="0"/>
    </xf>
    <xf numFmtId="218" fontId="158" fillId="15" borderId="21" xfId="0" applyNumberFormat="1" applyFont="1" applyFill="1" applyBorder="1" applyAlignment="1" applyProtection="1">
      <alignment horizontal="right" shrinkToFit="1"/>
      <protection hidden="1"/>
    </xf>
    <xf numFmtId="0" fontId="2" fillId="2" borderId="0" xfId="0" applyFont="1" applyFill="1" applyAlignment="1" applyProtection="1">
      <alignment horizontal="center" vertical="center" textRotation="180"/>
      <protection hidden="1"/>
    </xf>
    <xf numFmtId="0" fontId="186" fillId="2" borderId="4" xfId="0" applyNumberFormat="1" applyFont="1" applyFill="1" applyBorder="1" applyAlignment="1" applyProtection="1">
      <alignment horizontal="center" shrinkToFit="1"/>
      <protection hidden="1"/>
    </xf>
    <xf numFmtId="177" fontId="26" fillId="3" borderId="14" xfId="0" applyNumberFormat="1" applyFont="1" applyFill="1" applyBorder="1" applyAlignment="1" applyProtection="1">
      <alignment horizontal="center" shrinkToFit="1"/>
      <protection locked="0"/>
    </xf>
    <xf numFmtId="0" fontId="30" fillId="3" borderId="15" xfId="0" applyNumberFormat="1" applyFont="1" applyFill="1" applyBorder="1" applyAlignment="1" applyProtection="1">
      <alignment horizontal="right" shrinkToFit="1"/>
      <protection locked="0"/>
    </xf>
    <xf numFmtId="0" fontId="30" fillId="3" borderId="16" xfId="0" applyNumberFormat="1" applyFont="1" applyFill="1" applyBorder="1" applyAlignment="1" applyProtection="1">
      <alignment horizontal="right" shrinkToFit="1"/>
      <protection locked="0"/>
    </xf>
    <xf numFmtId="0" fontId="18" fillId="2" borderId="12" xfId="0" applyNumberFormat="1" applyFont="1" applyFill="1" applyBorder="1" applyAlignment="1" applyProtection="1">
      <alignment horizontal="center" vertical="center"/>
      <protection hidden="1"/>
    </xf>
    <xf numFmtId="0" fontId="27" fillId="2" borderId="6" xfId="0" applyNumberFormat="1" applyFont="1" applyFill="1" applyBorder="1" applyAlignment="1" applyProtection="1">
      <alignment horizontal="right"/>
      <protection hidden="1"/>
    </xf>
    <xf numFmtId="0" fontId="27" fillId="2" borderId="4" xfId="0" applyNumberFormat="1" applyFont="1" applyFill="1" applyBorder="1" applyAlignment="1" applyProtection="1">
      <alignment horizontal="right"/>
      <protection hidden="1"/>
    </xf>
    <xf numFmtId="0" fontId="32" fillId="3" borderId="14" xfId="0" applyNumberFormat="1" applyFont="1" applyFill="1" applyBorder="1" applyAlignment="1" applyProtection="1">
      <alignment horizontal="center" shrinkToFit="1"/>
      <protection locked="0"/>
    </xf>
    <xf numFmtId="0" fontId="184" fillId="2" borderId="4" xfId="0" applyNumberFormat="1" applyFont="1" applyFill="1" applyBorder="1" applyAlignment="1" applyProtection="1">
      <alignment horizontal="center"/>
      <protection hidden="1"/>
    </xf>
    <xf numFmtId="0" fontId="184" fillId="2" borderId="4" xfId="0" applyNumberFormat="1" applyFont="1" applyFill="1" applyBorder="1" applyAlignment="1" applyProtection="1">
      <alignment horizontal="center" vertical="top" shrinkToFit="1"/>
      <protection hidden="1"/>
    </xf>
    <xf numFmtId="0" fontId="27" fillId="2" borderId="7" xfId="0" applyNumberFormat="1" applyFont="1" applyFill="1" applyBorder="1" applyAlignment="1" applyProtection="1">
      <alignment horizontal="right" vertical="top"/>
      <protection hidden="1"/>
    </xf>
    <xf numFmtId="0" fontId="27" fillId="2" borderId="1" xfId="0" applyNumberFormat="1" applyFont="1" applyFill="1" applyBorder="1" applyAlignment="1" applyProtection="1">
      <alignment horizontal="right" vertical="top"/>
      <protection hidden="1"/>
    </xf>
    <xf numFmtId="0" fontId="28" fillId="2" borderId="19" xfId="0" applyNumberFormat="1" applyFont="1" applyFill="1" applyBorder="1" applyAlignment="1" applyProtection="1">
      <alignment horizontal="center" shrinkToFit="1"/>
      <protection hidden="1"/>
    </xf>
    <xf numFmtId="0" fontId="20" fillId="2" borderId="4" xfId="0" applyNumberFormat="1" applyFont="1" applyFill="1" applyBorder="1" applyAlignment="1" applyProtection="1">
      <alignment horizontal="left" shrinkToFit="1"/>
      <protection hidden="1"/>
    </xf>
    <xf numFmtId="0" fontId="20" fillId="2" borderId="5" xfId="0" applyNumberFormat="1" applyFont="1" applyFill="1" applyBorder="1" applyAlignment="1" applyProtection="1">
      <alignment horizontal="left" shrinkToFit="1"/>
      <protection hidden="1"/>
    </xf>
    <xf numFmtId="0" fontId="23" fillId="2" borderId="4" xfId="0" applyNumberFormat="1" applyFont="1" applyFill="1" applyBorder="1" applyAlignment="1" applyProtection="1">
      <alignment horizontal="left" shrinkToFit="1"/>
      <protection hidden="1"/>
    </xf>
    <xf numFmtId="0" fontId="23" fillId="2" borderId="5" xfId="0" applyNumberFormat="1" applyFont="1" applyFill="1" applyBorder="1" applyAlignment="1" applyProtection="1">
      <alignment horizontal="left" shrinkToFit="1"/>
      <protection hidden="1"/>
    </xf>
    <xf numFmtId="180" fontId="184" fillId="2" borderId="4" xfId="0" applyNumberFormat="1" applyFont="1" applyFill="1" applyBorder="1" applyAlignment="1" applyProtection="1">
      <alignment horizontal="left" vertical="top" shrinkToFit="1"/>
      <protection hidden="1"/>
    </xf>
    <xf numFmtId="180" fontId="184" fillId="2" borderId="5" xfId="0" applyNumberFormat="1" applyFont="1" applyFill="1" applyBorder="1" applyAlignment="1" applyProtection="1">
      <alignment horizontal="left" vertical="top" shrinkToFit="1"/>
      <protection hidden="1"/>
    </xf>
    <xf numFmtId="0" fontId="35" fillId="2" borderId="1" xfId="0" applyNumberFormat="1" applyFont="1" applyFill="1" applyBorder="1" applyAlignment="1" applyProtection="1">
      <alignment horizontal="center"/>
      <protection hidden="1"/>
    </xf>
    <xf numFmtId="0" fontId="20" fillId="2" borderId="6" xfId="0" applyNumberFormat="1" applyFont="1" applyFill="1" applyBorder="1" applyAlignment="1" applyProtection="1">
      <alignment horizontal="right" shrinkToFit="1"/>
      <protection hidden="1"/>
    </xf>
    <xf numFmtId="176" fontId="26" fillId="3" borderId="14" xfId="0" applyNumberFormat="1" applyFont="1" applyFill="1" applyBorder="1" applyAlignment="1" applyProtection="1">
      <alignment horizontal="center" shrinkToFit="1"/>
      <protection locked="0"/>
    </xf>
    <xf numFmtId="0" fontId="27" fillId="2" borderId="26" xfId="0" applyNumberFormat="1" applyFont="1" applyFill="1" applyBorder="1" applyAlignment="1" applyProtection="1">
      <alignment horizontal="center" shrinkToFit="1"/>
      <protection hidden="1"/>
    </xf>
    <xf numFmtId="213" fontId="26" fillId="3" borderId="15" xfId="0" applyNumberFormat="1" applyFont="1" applyFill="1" applyBorder="1" applyAlignment="1" applyProtection="1">
      <alignment horizontal="right" shrinkToFit="1"/>
      <protection locked="0"/>
    </xf>
    <xf numFmtId="213" fontId="26" fillId="3" borderId="16" xfId="0" applyNumberFormat="1" applyFont="1" applyFill="1" applyBorder="1" applyAlignment="1" applyProtection="1">
      <alignment horizontal="right" shrinkToFit="1"/>
      <protection locked="0"/>
    </xf>
    <xf numFmtId="0" fontId="27" fillId="2" borderId="0" xfId="0" applyNumberFormat="1" applyFont="1" applyFill="1" applyBorder="1" applyAlignment="1" applyProtection="1">
      <alignment horizontal="center" shrinkToFit="1"/>
      <protection hidden="1"/>
    </xf>
    <xf numFmtId="179" fontId="26" fillId="3" borderId="15" xfId="0" applyNumberFormat="1" applyFont="1" applyFill="1" applyBorder="1" applyAlignment="1" applyProtection="1">
      <alignment horizontal="center" vertical="center" shrinkToFit="1"/>
      <protection locked="0"/>
    </xf>
    <xf numFmtId="179" fontId="26" fillId="3" borderId="16" xfId="0" applyNumberFormat="1" applyFont="1" applyFill="1" applyBorder="1" applyAlignment="1" applyProtection="1">
      <alignment horizontal="center" vertical="center" shrinkToFit="1"/>
      <protection locked="0"/>
    </xf>
    <xf numFmtId="179" fontId="26" fillId="15" borderId="15" xfId="0" applyNumberFormat="1" applyFont="1" applyFill="1" applyBorder="1" applyAlignment="1" applyProtection="1">
      <alignment horizontal="center" vertical="center" shrinkToFit="1"/>
      <protection hidden="1"/>
    </xf>
    <xf numFmtId="179" fontId="26" fillId="15" borderId="21" xfId="0" applyNumberFormat="1" applyFont="1" applyFill="1" applyBorder="1" applyAlignment="1" applyProtection="1">
      <alignment horizontal="center" vertical="center" shrinkToFit="1"/>
      <protection hidden="1"/>
    </xf>
    <xf numFmtId="179" fontId="26" fillId="15" borderId="16" xfId="0" applyNumberFormat="1" applyFont="1" applyFill="1" applyBorder="1" applyAlignment="1" applyProtection="1">
      <alignment horizontal="center" vertical="center" shrinkToFit="1"/>
      <protection hidden="1"/>
    </xf>
    <xf numFmtId="0" fontId="27" fillId="2" borderId="0" xfId="0" applyNumberFormat="1" applyFont="1" applyFill="1" applyBorder="1" applyAlignment="1" applyProtection="1">
      <alignment horizontal="center"/>
      <protection hidden="1"/>
    </xf>
    <xf numFmtId="0" fontId="20" fillId="2" borderId="6" xfId="0" applyNumberFormat="1" applyFont="1" applyFill="1" applyBorder="1" applyAlignment="1" applyProtection="1">
      <alignment horizontal="right"/>
      <protection hidden="1"/>
    </xf>
    <xf numFmtId="0" fontId="20" fillId="2" borderId="4" xfId="0" applyNumberFormat="1" applyFont="1" applyFill="1" applyBorder="1" applyAlignment="1" applyProtection="1">
      <alignment horizontal="right"/>
      <protection hidden="1"/>
    </xf>
    <xf numFmtId="0" fontId="23" fillId="2" borderId="7" xfId="0" applyNumberFormat="1" applyFont="1" applyFill="1" applyBorder="1" applyAlignment="1" applyProtection="1">
      <alignment horizontal="center" shrinkToFit="1"/>
      <protection hidden="1"/>
    </xf>
    <xf numFmtId="0" fontId="23" fillId="4" borderId="7" xfId="0" applyNumberFormat="1" applyFont="1" applyFill="1" applyBorder="1" applyAlignment="1" applyProtection="1">
      <alignment horizontal="center"/>
      <protection hidden="1"/>
    </xf>
    <xf numFmtId="180" fontId="23" fillId="15" borderId="14" xfId="0" applyNumberFormat="1" applyFont="1" applyFill="1" applyBorder="1" applyAlignment="1" applyProtection="1">
      <alignment horizontal="right" shrinkToFit="1"/>
      <protection hidden="1"/>
    </xf>
    <xf numFmtId="180" fontId="23" fillId="15" borderId="15" xfId="0" applyNumberFormat="1" applyFont="1" applyFill="1" applyBorder="1" applyAlignment="1" applyProtection="1">
      <alignment horizontal="center" shrinkToFit="1"/>
      <protection hidden="1"/>
    </xf>
    <xf numFmtId="180" fontId="23" fillId="15" borderId="21" xfId="0" applyNumberFormat="1" applyFont="1" applyFill="1" applyBorder="1" applyAlignment="1" applyProtection="1">
      <alignment horizontal="center" shrinkToFit="1"/>
      <protection hidden="1"/>
    </xf>
    <xf numFmtId="180" fontId="23" fillId="15" borderId="16" xfId="0" applyNumberFormat="1" applyFont="1" applyFill="1" applyBorder="1" applyAlignment="1" applyProtection="1">
      <alignment horizontal="center" shrinkToFit="1"/>
      <protection hidden="1"/>
    </xf>
    <xf numFmtId="180" fontId="23" fillId="15" borderId="14" xfId="0" applyNumberFormat="1" applyFont="1" applyFill="1" applyBorder="1" applyAlignment="1" applyProtection="1">
      <alignment horizontal="left" shrinkToFit="1"/>
      <protection hidden="1"/>
    </xf>
    <xf numFmtId="180" fontId="23" fillId="15" borderId="14" xfId="0" applyNumberFormat="1" applyFont="1" applyFill="1" applyBorder="1" applyAlignment="1" applyProtection="1">
      <alignment horizontal="center" shrinkToFit="1"/>
      <protection hidden="1"/>
    </xf>
    <xf numFmtId="180" fontId="23" fillId="15" borderId="15" xfId="0" applyNumberFormat="1" applyFont="1" applyFill="1" applyBorder="1" applyAlignment="1" applyProtection="1">
      <alignment horizontal="left" shrinkToFit="1"/>
      <protection hidden="1"/>
    </xf>
    <xf numFmtId="180" fontId="23" fillId="15" borderId="16" xfId="0" applyNumberFormat="1" applyFont="1" applyFill="1" applyBorder="1" applyAlignment="1" applyProtection="1">
      <alignment horizontal="left" shrinkToFit="1"/>
      <protection hidden="1"/>
    </xf>
    <xf numFmtId="0" fontId="29" fillId="2" borderId="17" xfId="0" applyNumberFormat="1" applyFont="1" applyFill="1" applyBorder="1" applyAlignment="1" applyProtection="1">
      <alignment horizontal="right" vertical="center" shrinkToFit="1"/>
      <protection hidden="1"/>
    </xf>
    <xf numFmtId="0" fontId="29" fillId="2" borderId="18" xfId="0" applyNumberFormat="1" applyFont="1" applyFill="1" applyBorder="1" applyAlignment="1" applyProtection="1">
      <alignment horizontal="right" vertical="center" shrinkToFit="1"/>
      <protection hidden="1"/>
    </xf>
    <xf numFmtId="180" fontId="23" fillId="15" borderId="15" xfId="0" applyNumberFormat="1" applyFont="1" applyFill="1" applyBorder="1" applyAlignment="1" applyProtection="1">
      <alignment horizontal="right" shrinkToFit="1"/>
      <protection hidden="1"/>
    </xf>
    <xf numFmtId="180" fontId="23" fillId="15" borderId="21" xfId="0" applyNumberFormat="1" applyFont="1" applyFill="1" applyBorder="1" applyAlignment="1" applyProtection="1">
      <alignment horizontal="right" shrinkToFit="1"/>
      <protection hidden="1"/>
    </xf>
    <xf numFmtId="180" fontId="23" fillId="15" borderId="16" xfId="0" applyNumberFormat="1" applyFont="1" applyFill="1" applyBorder="1" applyAlignment="1" applyProtection="1">
      <alignment horizontal="right" shrinkToFit="1"/>
      <protection hidden="1"/>
    </xf>
    <xf numFmtId="0" fontId="27" fillId="2" borderId="7" xfId="0" applyNumberFormat="1" applyFont="1" applyFill="1" applyBorder="1" applyAlignment="1" applyProtection="1">
      <alignment horizontal="center" shrinkToFit="1"/>
      <protection hidden="1"/>
    </xf>
    <xf numFmtId="186" fontId="23" fillId="15" borderId="15" xfId="0" applyNumberFormat="1" applyFont="1" applyFill="1" applyBorder="1" applyAlignment="1" applyProtection="1">
      <alignment horizontal="right" shrinkToFit="1"/>
      <protection hidden="1"/>
    </xf>
    <xf numFmtId="186" fontId="23" fillId="15" borderId="16" xfId="0" applyNumberFormat="1" applyFont="1" applyFill="1" applyBorder="1" applyAlignment="1" applyProtection="1">
      <alignment horizontal="right" shrinkToFit="1"/>
      <protection hidden="1"/>
    </xf>
    <xf numFmtId="186" fontId="23" fillId="15" borderId="14" xfId="0" applyNumberFormat="1" applyFont="1" applyFill="1" applyBorder="1" applyAlignment="1" applyProtection="1">
      <alignment horizontal="center" shrinkToFit="1"/>
      <protection hidden="1"/>
    </xf>
    <xf numFmtId="186" fontId="23" fillId="15" borderId="21" xfId="0" applyNumberFormat="1" applyFont="1" applyFill="1" applyBorder="1" applyAlignment="1" applyProtection="1">
      <alignment horizontal="right" shrinkToFit="1"/>
      <protection hidden="1"/>
    </xf>
    <xf numFmtId="216" fontId="23" fillId="15" borderId="15" xfId="0" applyNumberFormat="1" applyFont="1" applyFill="1" applyBorder="1" applyAlignment="1" applyProtection="1">
      <alignment horizontal="right" shrinkToFit="1"/>
      <protection hidden="1"/>
    </xf>
    <xf numFmtId="216" fontId="23" fillId="15" borderId="21" xfId="0" applyNumberFormat="1" applyFont="1" applyFill="1" applyBorder="1" applyAlignment="1" applyProtection="1">
      <alignment horizontal="right" shrinkToFit="1"/>
      <protection hidden="1"/>
    </xf>
    <xf numFmtId="216" fontId="23" fillId="15" borderId="16" xfId="0" applyNumberFormat="1" applyFont="1" applyFill="1" applyBorder="1" applyAlignment="1" applyProtection="1">
      <alignment horizontal="right" shrinkToFit="1"/>
      <protection hidden="1"/>
    </xf>
    <xf numFmtId="0" fontId="20" fillId="17" borderId="6" xfId="0" applyNumberFormat="1" applyFont="1" applyFill="1" applyBorder="1" applyAlignment="1" applyProtection="1">
      <alignment horizontal="center"/>
      <protection hidden="1"/>
    </xf>
    <xf numFmtId="0" fontId="20" fillId="17" borderId="4" xfId="0" applyNumberFormat="1" applyFont="1" applyFill="1" applyBorder="1" applyAlignment="1" applyProtection="1">
      <alignment horizontal="center"/>
      <protection hidden="1"/>
    </xf>
    <xf numFmtId="0" fontId="23" fillId="2" borderId="19" xfId="0" applyNumberFormat="1" applyFont="1" applyFill="1" applyBorder="1" applyAlignment="1" applyProtection="1">
      <alignment horizontal="center" shrinkToFit="1"/>
      <protection hidden="1"/>
    </xf>
    <xf numFmtId="0" fontId="27" fillId="2" borderId="7" xfId="0" applyNumberFormat="1" applyFont="1" applyFill="1" applyBorder="1" applyAlignment="1" applyProtection="1">
      <alignment horizontal="center"/>
      <protection hidden="1"/>
    </xf>
    <xf numFmtId="0" fontId="27" fillId="2" borderId="19" xfId="0" applyNumberFormat="1" applyFont="1" applyFill="1" applyBorder="1" applyAlignment="1" applyProtection="1">
      <alignment horizontal="center"/>
      <protection hidden="1"/>
    </xf>
    <xf numFmtId="216" fontId="23" fillId="15" borderId="14" xfId="0" applyNumberFormat="1" applyFont="1" applyFill="1" applyBorder="1" applyAlignment="1" applyProtection="1">
      <alignment horizontal="right" shrinkToFit="1"/>
      <protection hidden="1"/>
    </xf>
    <xf numFmtId="216" fontId="162" fillId="16" borderId="21" xfId="0" applyNumberFormat="1" applyFont="1" applyFill="1" applyBorder="1" applyAlignment="1" applyProtection="1">
      <alignment horizontal="center" shrinkToFit="1"/>
      <protection hidden="1"/>
    </xf>
    <xf numFmtId="216" fontId="162" fillId="16" borderId="15" xfId="0" applyNumberFormat="1" applyFont="1" applyFill="1" applyBorder="1" applyAlignment="1" applyProtection="1">
      <alignment horizontal="center"/>
      <protection hidden="1"/>
    </xf>
    <xf numFmtId="216" fontId="162" fillId="16" borderId="16" xfId="0" applyNumberFormat="1" applyFont="1" applyFill="1" applyBorder="1" applyAlignment="1" applyProtection="1">
      <alignment horizontal="center"/>
      <protection hidden="1"/>
    </xf>
    <xf numFmtId="216" fontId="162" fillId="16" borderId="14" xfId="0" applyNumberFormat="1" applyFont="1" applyFill="1" applyBorder="1" applyAlignment="1" applyProtection="1">
      <alignment horizontal="center"/>
      <protection hidden="1"/>
    </xf>
    <xf numFmtId="216" fontId="162" fillId="16" borderId="15" xfId="0" applyNumberFormat="1" applyFont="1" applyFill="1" applyBorder="1" applyAlignment="1" applyProtection="1">
      <alignment horizontal="right"/>
      <protection hidden="1"/>
    </xf>
    <xf numFmtId="216" fontId="162" fillId="16" borderId="16" xfId="0" applyNumberFormat="1" applyFont="1" applyFill="1" applyBorder="1" applyAlignment="1" applyProtection="1">
      <alignment horizontal="right"/>
      <protection hidden="1"/>
    </xf>
    <xf numFmtId="186" fontId="23" fillId="15" borderId="15" xfId="0" applyNumberFormat="1" applyFont="1" applyFill="1" applyBorder="1" applyAlignment="1" applyProtection="1">
      <alignment horizontal="center" shrinkToFit="1"/>
      <protection hidden="1"/>
    </xf>
    <xf numFmtId="186" fontId="23" fillId="15" borderId="21" xfId="0" applyNumberFormat="1" applyFont="1" applyFill="1" applyBorder="1" applyAlignment="1" applyProtection="1">
      <alignment horizontal="center" shrinkToFit="1"/>
      <protection hidden="1"/>
    </xf>
    <xf numFmtId="186" fontId="23" fillId="15" borderId="16" xfId="0" applyNumberFormat="1" applyFont="1" applyFill="1" applyBorder="1" applyAlignment="1" applyProtection="1">
      <alignment horizontal="center" shrinkToFit="1"/>
      <protection hidden="1"/>
    </xf>
    <xf numFmtId="0" fontId="20" fillId="4" borderId="6" xfId="0" applyNumberFormat="1" applyFont="1" applyFill="1" applyBorder="1" applyAlignment="1" applyProtection="1">
      <alignment horizontal="right"/>
      <protection hidden="1"/>
    </xf>
    <xf numFmtId="0" fontId="20" fillId="4" borderId="4" xfId="0" applyNumberFormat="1" applyFont="1" applyFill="1" applyBorder="1" applyAlignment="1" applyProtection="1">
      <alignment horizontal="right"/>
      <protection hidden="1"/>
    </xf>
    <xf numFmtId="0" fontId="159" fillId="3" borderId="15" xfId="0" applyNumberFormat="1" applyFont="1" applyFill="1" applyBorder="1" applyAlignment="1" applyProtection="1">
      <alignment horizontal="center" shrinkToFit="1"/>
      <protection locked="0"/>
    </xf>
    <xf numFmtId="0" fontId="159" fillId="3" borderId="16" xfId="0" applyNumberFormat="1" applyFont="1" applyFill="1" applyBorder="1" applyAlignment="1" applyProtection="1">
      <alignment horizontal="center" shrinkToFit="1"/>
      <protection locked="0"/>
    </xf>
    <xf numFmtId="0" fontId="11" fillId="2" borderId="0" xfId="0" applyFont="1" applyFill="1" applyBorder="1" applyAlignment="1" applyProtection="1">
      <alignment horizontal="left"/>
      <protection hidden="1"/>
    </xf>
    <xf numFmtId="22" fontId="6" fillId="2" borderId="0" xfId="0" applyNumberFormat="1" applyFont="1" applyFill="1" applyBorder="1" applyAlignment="1" applyProtection="1">
      <alignment horizontal="center" shrinkToFit="1"/>
      <protection hidden="1"/>
    </xf>
    <xf numFmtId="188" fontId="23" fillId="15" borderId="15" xfId="0" applyNumberFormat="1" applyFont="1" applyFill="1" applyBorder="1" applyAlignment="1" applyProtection="1">
      <alignment horizontal="right" shrinkToFit="1"/>
      <protection hidden="1"/>
    </xf>
    <xf numFmtId="188" fontId="23" fillId="15" borderId="21" xfId="0" applyNumberFormat="1" applyFont="1" applyFill="1" applyBorder="1" applyAlignment="1" applyProtection="1">
      <alignment horizontal="right" shrinkToFit="1"/>
      <protection hidden="1"/>
    </xf>
    <xf numFmtId="188" fontId="23" fillId="15" borderId="16" xfId="0" applyNumberFormat="1" applyFont="1" applyFill="1" applyBorder="1" applyAlignment="1" applyProtection="1">
      <alignment horizontal="right" shrinkToFit="1"/>
      <protection hidden="1"/>
    </xf>
    <xf numFmtId="0" fontId="23" fillId="4" borderId="19" xfId="0" applyNumberFormat="1" applyFont="1" applyFill="1" applyBorder="1" applyAlignment="1" applyProtection="1">
      <alignment horizontal="center" shrinkToFit="1"/>
      <protection hidden="1"/>
    </xf>
    <xf numFmtId="178" fontId="26" fillId="3" borderId="15" xfId="0" applyNumberFormat="1" applyFont="1" applyFill="1" applyBorder="1" applyAlignment="1" applyProtection="1">
      <alignment horizontal="center" shrinkToFit="1"/>
      <protection locked="0"/>
    </xf>
    <xf numFmtId="178" fontId="26" fillId="3" borderId="21" xfId="0" applyNumberFormat="1" applyFont="1" applyFill="1" applyBorder="1" applyAlignment="1" applyProtection="1">
      <alignment horizontal="center" shrinkToFit="1"/>
      <protection locked="0"/>
    </xf>
    <xf numFmtId="178" fontId="26" fillId="3" borderId="16" xfId="0" applyNumberFormat="1" applyFont="1" applyFill="1" applyBorder="1" applyAlignment="1" applyProtection="1">
      <alignment horizontal="center" shrinkToFit="1"/>
      <protection locked="0"/>
    </xf>
    <xf numFmtId="0" fontId="34" fillId="3" borderId="15" xfId="0" applyNumberFormat="1" applyFont="1" applyFill="1" applyBorder="1" applyAlignment="1" applyProtection="1">
      <alignment horizontal="center"/>
      <protection locked="0"/>
    </xf>
    <xf numFmtId="0" fontId="34" fillId="3" borderId="21" xfId="0" applyNumberFormat="1" applyFont="1" applyFill="1" applyBorder="1" applyAlignment="1" applyProtection="1">
      <alignment horizontal="center"/>
      <protection locked="0"/>
    </xf>
    <xf numFmtId="0" fontId="34" fillId="3" borderId="16" xfId="0" applyNumberFormat="1" applyFont="1" applyFill="1" applyBorder="1" applyAlignment="1" applyProtection="1">
      <alignment horizontal="center"/>
      <protection locked="0"/>
    </xf>
    <xf numFmtId="0" fontId="27" fillId="2" borderId="26" xfId="0" applyNumberFormat="1" applyFont="1" applyFill="1" applyBorder="1" applyAlignment="1" applyProtection="1">
      <alignment horizontal="center"/>
      <protection hidden="1"/>
    </xf>
    <xf numFmtId="0" fontId="158" fillId="2" borderId="78" xfId="0" applyNumberFormat="1" applyFont="1" applyFill="1" applyBorder="1" applyAlignment="1" applyProtection="1">
      <alignment horizontal="center" shrinkToFit="1"/>
      <protection hidden="1"/>
    </xf>
    <xf numFmtId="0" fontId="158" fillId="2" borderId="26" xfId="0" applyNumberFormat="1" applyFont="1" applyFill="1" applyBorder="1" applyAlignment="1" applyProtection="1">
      <alignment horizontal="center" shrinkToFit="1"/>
      <protection hidden="1"/>
    </xf>
    <xf numFmtId="201" fontId="33" fillId="3" borderId="14" xfId="0" applyNumberFormat="1" applyFont="1" applyFill="1" applyBorder="1" applyAlignment="1" applyProtection="1">
      <alignment horizontal="center" shrinkToFit="1"/>
      <protection locked="0"/>
    </xf>
    <xf numFmtId="0" fontId="27" fillId="2" borderId="78" xfId="0" applyNumberFormat="1" applyFont="1" applyFill="1" applyBorder="1" applyAlignment="1" applyProtection="1">
      <alignment horizontal="center"/>
      <protection hidden="1"/>
    </xf>
    <xf numFmtId="0" fontId="1" fillId="7" borderId="13" xfId="0" applyFont="1" applyFill="1" applyBorder="1" applyAlignment="1" applyProtection="1">
      <alignment horizontal="center" vertical="center" shrinkToFit="1"/>
      <protection hidden="1"/>
    </xf>
    <xf numFmtId="0" fontId="1" fillId="7" borderId="0" xfId="0" applyFont="1" applyFill="1" applyBorder="1" applyAlignment="1" applyProtection="1">
      <alignment horizontal="center" vertical="center" shrinkToFit="1"/>
      <protection hidden="1"/>
    </xf>
    <xf numFmtId="0" fontId="1" fillId="2" borderId="29" xfId="0" applyFont="1" applyFill="1" applyBorder="1" applyAlignment="1" applyProtection="1">
      <alignment horizontal="center" vertical="center" wrapText="1"/>
      <protection hidden="1"/>
    </xf>
    <xf numFmtId="0" fontId="1" fillId="2" borderId="41" xfId="0" applyFont="1" applyFill="1" applyBorder="1" applyAlignment="1" applyProtection="1">
      <alignment horizontal="center" vertical="center" wrapText="1"/>
      <protection hidden="1"/>
    </xf>
    <xf numFmtId="0" fontId="1" fillId="2" borderId="60" xfId="0" applyFont="1" applyFill="1" applyBorder="1" applyAlignment="1" applyProtection="1">
      <alignment horizontal="center" vertical="center" wrapText="1"/>
      <protection hidden="1"/>
    </xf>
    <xf numFmtId="0" fontId="1" fillId="2" borderId="30" xfId="0" applyFont="1" applyFill="1" applyBorder="1" applyAlignment="1" applyProtection="1">
      <alignment horizontal="center" vertical="center" wrapText="1"/>
      <protection hidden="1"/>
    </xf>
    <xf numFmtId="0" fontId="1" fillId="2" borderId="42" xfId="0" applyFont="1" applyFill="1" applyBorder="1" applyAlignment="1" applyProtection="1">
      <alignment horizontal="center" vertical="center" wrapText="1"/>
      <protection hidden="1"/>
    </xf>
    <xf numFmtId="0" fontId="1" fillId="2" borderId="61" xfId="0" applyFont="1" applyFill="1" applyBorder="1" applyAlignment="1" applyProtection="1">
      <alignment horizontal="center" vertical="center" wrapText="1"/>
      <protection hidden="1"/>
    </xf>
    <xf numFmtId="0" fontId="1" fillId="2" borderId="31" xfId="0" applyFont="1" applyFill="1" applyBorder="1" applyAlignment="1" applyProtection="1">
      <alignment horizontal="center"/>
      <protection hidden="1"/>
    </xf>
    <xf numFmtId="0" fontId="1" fillId="2" borderId="28" xfId="0" applyFont="1" applyFill="1" applyBorder="1" applyAlignment="1" applyProtection="1">
      <alignment horizontal="center"/>
      <protection hidden="1"/>
    </xf>
    <xf numFmtId="0" fontId="1" fillId="2" borderId="32" xfId="0" applyFont="1" applyFill="1" applyBorder="1" applyAlignment="1" applyProtection="1">
      <alignment horizontal="center"/>
      <protection hidden="1"/>
    </xf>
    <xf numFmtId="0" fontId="1" fillId="2" borderId="33" xfId="0" applyFont="1" applyFill="1" applyBorder="1" applyAlignment="1" applyProtection="1">
      <alignment horizontal="center" vertical="center"/>
      <protection hidden="1"/>
    </xf>
    <xf numFmtId="0" fontId="0" fillId="0" borderId="34" xfId="0" applyBorder="1" applyProtection="1">
      <protection hidden="1"/>
    </xf>
    <xf numFmtId="0" fontId="0" fillId="0" borderId="35" xfId="0" applyBorder="1" applyProtection="1">
      <protection hidden="1"/>
    </xf>
    <xf numFmtId="0" fontId="1" fillId="2" borderId="36" xfId="0" applyFont="1" applyFill="1" applyBorder="1" applyAlignment="1" applyProtection="1">
      <alignment horizontal="center" vertical="center"/>
      <protection hidden="1"/>
    </xf>
    <xf numFmtId="0" fontId="0" fillId="0" borderId="28" xfId="0" applyBorder="1" applyProtection="1">
      <protection hidden="1"/>
    </xf>
    <xf numFmtId="190" fontId="36" fillId="2" borderId="62" xfId="0" applyNumberFormat="1" applyFont="1" applyFill="1" applyBorder="1" applyAlignment="1" applyProtection="1">
      <alignment horizontal="center" vertical="center" shrinkToFit="1"/>
      <protection hidden="1"/>
    </xf>
    <xf numFmtId="190" fontId="36" fillId="2" borderId="19" xfId="0" applyNumberFormat="1" applyFont="1" applyFill="1" applyBorder="1" applyAlignment="1" applyProtection="1">
      <alignment horizontal="center" vertical="center" shrinkToFit="1"/>
      <protection hidden="1"/>
    </xf>
    <xf numFmtId="190" fontId="36" fillId="2" borderId="63" xfId="0" applyNumberFormat="1" applyFont="1" applyFill="1" applyBorder="1" applyAlignment="1" applyProtection="1">
      <alignment horizontal="center" vertical="center" shrinkToFit="1"/>
      <protection hidden="1"/>
    </xf>
    <xf numFmtId="0" fontId="1" fillId="2" borderId="34" xfId="0" applyFont="1" applyFill="1" applyBorder="1" applyAlignment="1" applyProtection="1">
      <alignment horizontal="center" vertical="center"/>
      <protection hidden="1"/>
    </xf>
    <xf numFmtId="0" fontId="1" fillId="2" borderId="37" xfId="0" applyFont="1" applyFill="1" applyBorder="1" applyAlignment="1" applyProtection="1">
      <alignment horizontal="center" vertical="center"/>
      <protection hidden="1"/>
    </xf>
    <xf numFmtId="0" fontId="1" fillId="2" borderId="38" xfId="0" applyFont="1" applyFill="1" applyBorder="1" applyAlignment="1" applyProtection="1">
      <alignment horizontal="center" vertical="center"/>
      <protection hidden="1"/>
    </xf>
    <xf numFmtId="0" fontId="1" fillId="2" borderId="35" xfId="0" applyFont="1" applyFill="1" applyBorder="1" applyAlignment="1" applyProtection="1">
      <alignment horizontal="center" vertical="center"/>
      <protection hidden="1"/>
    </xf>
    <xf numFmtId="0" fontId="1" fillId="2" borderId="33" xfId="0" applyNumberFormat="1" applyFont="1" applyFill="1" applyBorder="1" applyAlignment="1" applyProtection="1">
      <alignment horizontal="center" vertical="center" shrinkToFit="1"/>
      <protection hidden="1"/>
    </xf>
    <xf numFmtId="0" fontId="1" fillId="2" borderId="34" xfId="0" applyNumberFormat="1" applyFont="1" applyFill="1" applyBorder="1" applyAlignment="1" applyProtection="1">
      <alignment horizontal="center" vertical="center" shrinkToFit="1"/>
      <protection hidden="1"/>
    </xf>
    <xf numFmtId="0" fontId="1" fillId="2" borderId="35" xfId="0" applyNumberFormat="1" applyFont="1" applyFill="1" applyBorder="1" applyAlignment="1" applyProtection="1">
      <alignment horizontal="center" vertical="center" shrinkToFit="1"/>
      <protection hidden="1"/>
    </xf>
    <xf numFmtId="0" fontId="41" fillId="0" borderId="36"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48" xfId="0" applyFont="1" applyFill="1" applyBorder="1" applyAlignment="1" applyProtection="1">
      <alignment horizontal="center" vertical="center" wrapText="1"/>
      <protection hidden="1"/>
    </xf>
    <xf numFmtId="0" fontId="41" fillId="0" borderId="43" xfId="0" applyFont="1" applyFill="1" applyBorder="1" applyAlignment="1" applyProtection="1">
      <alignment horizontal="center" vertical="center" wrapText="1"/>
      <protection hidden="1"/>
    </xf>
    <xf numFmtId="0" fontId="1" fillId="2" borderId="40" xfId="0" applyFont="1" applyFill="1" applyBorder="1" applyAlignment="1" applyProtection="1">
      <alignment horizontal="center" vertical="center"/>
      <protection hidden="1"/>
    </xf>
    <xf numFmtId="0" fontId="1" fillId="2" borderId="49" xfId="0" applyFont="1" applyFill="1" applyBorder="1" applyAlignment="1" applyProtection="1">
      <alignment horizontal="center" vertical="center"/>
      <protection hidden="1"/>
    </xf>
    <xf numFmtId="0" fontId="1" fillId="2" borderId="73" xfId="0" applyFont="1" applyFill="1" applyBorder="1" applyAlignment="1" applyProtection="1">
      <alignment horizontal="center" vertical="center"/>
      <protection hidden="1"/>
    </xf>
    <xf numFmtId="0" fontId="2" fillId="2" borderId="13" xfId="0" applyFont="1" applyFill="1" applyBorder="1" applyAlignment="1" applyProtection="1">
      <alignment horizontal="right"/>
      <protection hidden="1"/>
    </xf>
    <xf numFmtId="0" fontId="2" fillId="2" borderId="0" xfId="0" applyFont="1" applyFill="1" applyBorder="1" applyAlignment="1" applyProtection="1">
      <alignment horizontal="right"/>
      <protection hidden="1"/>
    </xf>
    <xf numFmtId="0" fontId="2" fillId="2" borderId="43" xfId="0" applyFont="1" applyFill="1" applyBorder="1" applyAlignment="1" applyProtection="1">
      <alignment horizontal="right"/>
      <protection hidden="1"/>
    </xf>
    <xf numFmtId="0" fontId="1" fillId="2" borderId="17" xfId="0" applyFont="1" applyFill="1" applyBorder="1" applyAlignment="1" applyProtection="1">
      <alignment horizontal="center" vertical="center"/>
      <protection hidden="1"/>
    </xf>
    <xf numFmtId="0" fontId="36" fillId="2" borderId="44" xfId="0" applyFont="1" applyFill="1" applyBorder="1" applyAlignment="1" applyProtection="1">
      <alignment horizontal="center" vertical="center"/>
      <protection hidden="1"/>
    </xf>
    <xf numFmtId="0" fontId="36" fillId="2" borderId="45" xfId="0" applyFont="1" applyFill="1" applyBorder="1" applyAlignment="1" applyProtection="1">
      <alignment horizontal="center" vertical="center" wrapText="1" shrinkToFit="1"/>
      <protection hidden="1"/>
    </xf>
    <xf numFmtId="0" fontId="36" fillId="2" borderId="53" xfId="0" applyFont="1" applyFill="1" applyBorder="1" applyAlignment="1" applyProtection="1">
      <alignment horizontal="center" vertical="center" wrapText="1" shrinkToFit="1"/>
      <protection hidden="1"/>
    </xf>
    <xf numFmtId="0" fontId="1" fillId="2" borderId="17"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44" xfId="0" applyFont="1" applyFill="1" applyBorder="1" applyAlignment="1" applyProtection="1">
      <alignment horizontal="center" vertical="center" wrapText="1"/>
      <protection hidden="1"/>
    </xf>
    <xf numFmtId="0" fontId="36" fillId="2" borderId="45" xfId="0" applyFont="1" applyFill="1" applyBorder="1" applyAlignment="1" applyProtection="1">
      <alignment horizontal="center" vertical="center" wrapText="1"/>
      <protection hidden="1"/>
    </xf>
    <xf numFmtId="0" fontId="36" fillId="2" borderId="53" xfId="0" applyFont="1" applyFill="1" applyBorder="1" applyAlignment="1" applyProtection="1">
      <alignment horizontal="center" vertical="center" wrapText="1"/>
      <protection hidden="1"/>
    </xf>
    <xf numFmtId="0" fontId="43" fillId="2" borderId="17" xfId="0" applyFont="1" applyFill="1" applyBorder="1" applyAlignment="1" applyProtection="1">
      <alignment horizontal="center" vertical="center"/>
      <protection hidden="1"/>
    </xf>
    <xf numFmtId="0" fontId="36" fillId="2" borderId="4" xfId="0" applyFont="1" applyFill="1" applyBorder="1" applyAlignment="1" applyProtection="1">
      <alignment horizontal="center" vertical="center"/>
      <protection hidden="1"/>
    </xf>
    <xf numFmtId="0" fontId="43" fillId="2" borderId="6" xfId="0" applyFont="1" applyFill="1" applyBorder="1" applyAlignment="1" applyProtection="1">
      <alignment horizontal="center" vertical="center"/>
      <protection hidden="1"/>
    </xf>
    <xf numFmtId="190" fontId="36" fillId="2" borderId="17" xfId="0" applyNumberFormat="1" applyFont="1" applyFill="1" applyBorder="1" applyAlignment="1" applyProtection="1">
      <alignment horizontal="center" vertical="center" shrinkToFit="1"/>
      <protection hidden="1"/>
    </xf>
    <xf numFmtId="190" fontId="36" fillId="2" borderId="44" xfId="0" applyNumberFormat="1" applyFont="1" applyFill="1" applyBorder="1" applyAlignment="1" applyProtection="1">
      <alignment horizontal="center" vertical="center" shrinkToFit="1"/>
      <protection hidden="1"/>
    </xf>
    <xf numFmtId="0" fontId="43" fillId="2" borderId="51" xfId="0" applyFont="1" applyFill="1" applyBorder="1" applyAlignment="1" applyProtection="1">
      <alignment horizontal="center" vertical="center" wrapText="1"/>
      <protection hidden="1"/>
    </xf>
    <xf numFmtId="0" fontId="43" fillId="2" borderId="56" xfId="0" applyFont="1" applyFill="1" applyBorder="1" applyAlignment="1" applyProtection="1">
      <alignment horizontal="center" vertical="center" wrapText="1"/>
      <protection hidden="1"/>
    </xf>
    <xf numFmtId="0" fontId="2" fillId="2" borderId="51" xfId="0" applyFont="1" applyFill="1" applyBorder="1" applyAlignment="1" applyProtection="1">
      <alignment horizontal="center" vertical="center" shrinkToFit="1"/>
      <protection hidden="1"/>
    </xf>
    <xf numFmtId="0" fontId="2" fillId="2" borderId="57" xfId="0" applyFont="1" applyFill="1" applyBorder="1" applyAlignment="1" applyProtection="1">
      <alignment horizontal="center" vertical="center" shrinkToFit="1"/>
      <protection hidden="1"/>
    </xf>
    <xf numFmtId="0" fontId="2" fillId="2" borderId="67" xfId="0" applyFont="1" applyFill="1" applyBorder="1" applyAlignment="1" applyProtection="1">
      <alignment horizontal="center" vertical="center" shrinkToFit="1"/>
      <protection hidden="1"/>
    </xf>
    <xf numFmtId="0" fontId="7" fillId="2" borderId="42" xfId="0" applyFont="1" applyFill="1" applyBorder="1" applyAlignment="1" applyProtection="1">
      <alignment horizontal="center" shrinkToFit="1"/>
      <protection hidden="1"/>
    </xf>
    <xf numFmtId="0" fontId="7" fillId="2" borderId="13" xfId="0" applyFont="1" applyFill="1" applyBorder="1" applyAlignment="1" applyProtection="1">
      <alignment horizontal="center"/>
      <protection hidden="1"/>
    </xf>
    <xf numFmtId="0" fontId="43" fillId="2" borderId="42" xfId="0" applyFont="1" applyFill="1" applyBorder="1" applyAlignment="1" applyProtection="1">
      <alignment horizontal="center" vertical="center" wrapText="1"/>
      <protection hidden="1"/>
    </xf>
    <xf numFmtId="0" fontId="43" fillId="2" borderId="51" xfId="0" applyFont="1" applyFill="1" applyBorder="1" applyAlignment="1" applyProtection="1">
      <alignment horizontal="center" vertical="top" wrapText="1"/>
      <protection hidden="1"/>
    </xf>
    <xf numFmtId="0" fontId="43" fillId="2" borderId="57" xfId="0" applyFont="1" applyFill="1" applyBorder="1" applyAlignment="1" applyProtection="1">
      <alignment horizontal="center" vertical="top" wrapText="1"/>
      <protection hidden="1"/>
    </xf>
    <xf numFmtId="0" fontId="2" fillId="2" borderId="45" xfId="0" applyFont="1" applyFill="1" applyBorder="1" applyAlignment="1" applyProtection="1">
      <alignment horizontal="center" vertical="top" wrapText="1"/>
      <protection hidden="1"/>
    </xf>
    <xf numFmtId="0" fontId="2" fillId="2" borderId="53" xfId="0" applyFont="1" applyFill="1" applyBorder="1" applyAlignment="1" applyProtection="1">
      <alignment horizontal="center" vertical="top" wrapText="1"/>
      <protection hidden="1"/>
    </xf>
    <xf numFmtId="0" fontId="45" fillId="2" borderId="17" xfId="0" applyFont="1" applyFill="1" applyBorder="1" applyAlignment="1" applyProtection="1">
      <alignment horizontal="center" vertical="center"/>
      <protection hidden="1"/>
    </xf>
    <xf numFmtId="0" fontId="43" fillId="2" borderId="44" xfId="0" applyFont="1" applyFill="1" applyBorder="1" applyAlignment="1" applyProtection="1">
      <alignment horizontal="center" vertical="center"/>
      <protection hidden="1"/>
    </xf>
    <xf numFmtId="190" fontId="36" fillId="2" borderId="45" xfId="0" applyNumberFormat="1" applyFont="1" applyFill="1" applyBorder="1" applyAlignment="1" applyProtection="1">
      <alignment horizontal="center" vertical="center" wrapText="1"/>
      <protection hidden="1"/>
    </xf>
    <xf numFmtId="190" fontId="36" fillId="2" borderId="58" xfId="0" applyNumberFormat="1" applyFont="1" applyFill="1" applyBorder="1" applyAlignment="1" applyProtection="1">
      <alignment horizontal="center" vertical="center" wrapText="1"/>
      <protection hidden="1"/>
    </xf>
    <xf numFmtId="0" fontId="1" fillId="2" borderId="55" xfId="0" applyFont="1" applyFill="1" applyBorder="1" applyAlignment="1" applyProtection="1">
      <alignment horizontal="center" vertical="center" shrinkToFit="1"/>
      <protection hidden="1"/>
    </xf>
    <xf numFmtId="0" fontId="1" fillId="2" borderId="50" xfId="0" applyFont="1" applyFill="1" applyBorder="1" applyAlignment="1" applyProtection="1">
      <alignment horizontal="center" vertical="center" shrinkToFit="1"/>
      <protection hidden="1"/>
    </xf>
    <xf numFmtId="0" fontId="36" fillId="2" borderId="6" xfId="0" applyFont="1" applyFill="1" applyBorder="1" applyAlignment="1" applyProtection="1">
      <alignment horizontal="center" vertical="center"/>
      <protection hidden="1"/>
    </xf>
    <xf numFmtId="0" fontId="36" fillId="2" borderId="18" xfId="0" applyFont="1" applyFill="1" applyBorder="1" applyAlignment="1" applyProtection="1">
      <alignment horizontal="center" vertical="center"/>
      <protection hidden="1"/>
    </xf>
    <xf numFmtId="0" fontId="43" fillId="2" borderId="17" xfId="0" applyFont="1" applyFill="1" applyBorder="1" applyAlignment="1" applyProtection="1">
      <alignment horizontal="center" vertical="center" shrinkToFit="1"/>
      <protection hidden="1"/>
    </xf>
    <xf numFmtId="0" fontId="2" fillId="2" borderId="18" xfId="0" applyFont="1" applyFill="1" applyBorder="1" applyAlignment="1" applyProtection="1">
      <alignment horizontal="center" vertical="center" shrinkToFit="1"/>
      <protection hidden="1"/>
    </xf>
    <xf numFmtId="0" fontId="43" fillId="2" borderId="52" xfId="0" applyFont="1" applyFill="1" applyBorder="1" applyAlignment="1" applyProtection="1">
      <alignment horizontal="center" vertical="top" textRotation="255" shrinkToFit="1"/>
      <protection hidden="1"/>
    </xf>
    <xf numFmtId="0" fontId="36" fillId="2" borderId="42" xfId="0" applyFont="1" applyFill="1" applyBorder="1" applyAlignment="1" applyProtection="1">
      <alignment horizontal="center" vertical="top" textRotation="255" shrinkToFit="1"/>
      <protection hidden="1"/>
    </xf>
    <xf numFmtId="0" fontId="43" fillId="2" borderId="52" xfId="0" applyFont="1" applyFill="1" applyBorder="1" applyAlignment="1" applyProtection="1">
      <alignment horizontal="center" vertical="top" wrapText="1"/>
      <protection hidden="1"/>
    </xf>
    <xf numFmtId="0" fontId="46" fillId="2" borderId="42" xfId="0" applyFont="1" applyFill="1" applyBorder="1" applyAlignment="1" applyProtection="1">
      <alignment horizontal="center" vertical="top" wrapText="1"/>
      <protection hidden="1"/>
    </xf>
    <xf numFmtId="0" fontId="43" fillId="2" borderId="9" xfId="0" applyFont="1" applyFill="1" applyBorder="1" applyAlignment="1" applyProtection="1">
      <alignment horizontal="center" vertical="top" wrapText="1"/>
      <protection hidden="1"/>
    </xf>
    <xf numFmtId="0" fontId="43" fillId="2" borderId="13" xfId="0" applyFont="1" applyFill="1" applyBorder="1" applyAlignment="1" applyProtection="1">
      <alignment horizontal="center" vertical="top" wrapText="1"/>
      <protection hidden="1"/>
    </xf>
    <xf numFmtId="0" fontId="43" fillId="2" borderId="59" xfId="0" applyFont="1" applyFill="1" applyBorder="1" applyAlignment="1" applyProtection="1">
      <alignment horizontal="center" vertical="top" wrapText="1"/>
      <protection hidden="1"/>
    </xf>
    <xf numFmtId="0" fontId="45" fillId="2" borderId="64" xfId="0" applyFont="1" applyFill="1" applyBorder="1" applyAlignment="1" applyProtection="1">
      <alignment horizontal="center" vertical="center"/>
      <protection hidden="1"/>
    </xf>
    <xf numFmtId="0" fontId="43" fillId="2" borderId="19" xfId="0" applyFont="1" applyFill="1" applyBorder="1" applyAlignment="1" applyProtection="1">
      <alignment horizontal="center" vertical="center"/>
      <protection hidden="1"/>
    </xf>
    <xf numFmtId="0" fontId="43" fillId="2" borderId="65" xfId="0" applyFont="1" applyFill="1" applyBorder="1" applyAlignment="1" applyProtection="1">
      <alignment horizontal="center" vertical="center"/>
      <protection hidden="1"/>
    </xf>
    <xf numFmtId="0" fontId="45" fillId="2" borderId="19" xfId="0" applyFont="1" applyFill="1" applyBorder="1" applyAlignment="1" applyProtection="1">
      <alignment horizontal="center" vertical="center"/>
      <protection hidden="1"/>
    </xf>
    <xf numFmtId="0" fontId="36" fillId="2" borderId="19" xfId="0" applyFont="1" applyFill="1" applyBorder="1" applyAlignment="1" applyProtection="1">
      <alignment horizontal="center" vertical="center"/>
      <protection hidden="1"/>
    </xf>
    <xf numFmtId="0" fontId="36" fillId="2" borderId="63" xfId="0" applyFont="1" applyFill="1" applyBorder="1" applyAlignment="1" applyProtection="1">
      <alignment horizontal="center" vertical="center"/>
      <protection hidden="1"/>
    </xf>
    <xf numFmtId="0" fontId="45" fillId="2" borderId="64" xfId="0" applyFont="1" applyFill="1" applyBorder="1" applyAlignment="1" applyProtection="1">
      <alignment horizontal="center" vertical="center" shrinkToFit="1"/>
      <protection hidden="1"/>
    </xf>
    <xf numFmtId="0" fontId="43" fillId="2" borderId="19" xfId="0" applyFont="1" applyFill="1" applyBorder="1" applyAlignment="1" applyProtection="1">
      <alignment horizontal="center" vertical="center" shrinkToFit="1"/>
      <protection hidden="1"/>
    </xf>
    <xf numFmtId="0" fontId="43" fillId="2" borderId="63" xfId="0" applyFont="1" applyFill="1" applyBorder="1" applyAlignment="1" applyProtection="1">
      <alignment horizontal="center" vertical="center" shrinkToFit="1"/>
      <protection hidden="1"/>
    </xf>
    <xf numFmtId="0" fontId="36" fillId="6" borderId="76" xfId="0" applyNumberFormat="1" applyFont="1" applyFill="1" applyBorder="1" applyAlignment="1" applyProtection="1">
      <alignment horizontal="center" vertical="center" wrapText="1"/>
      <protection hidden="1"/>
    </xf>
    <xf numFmtId="0" fontId="36" fillId="6" borderId="41" xfId="0" applyNumberFormat="1" applyFont="1" applyFill="1" applyBorder="1" applyAlignment="1" applyProtection="1">
      <alignment horizontal="center" vertical="center" wrapText="1"/>
      <protection hidden="1"/>
    </xf>
    <xf numFmtId="0" fontId="36" fillId="6" borderId="60" xfId="0" applyNumberFormat="1" applyFont="1" applyFill="1" applyBorder="1" applyAlignment="1" applyProtection="1">
      <alignment horizontal="center" vertical="center" wrapText="1"/>
      <protection hidden="1"/>
    </xf>
    <xf numFmtId="0" fontId="36" fillId="6" borderId="77" xfId="0" applyNumberFormat="1" applyFont="1" applyFill="1" applyBorder="1" applyAlignment="1" applyProtection="1">
      <alignment horizontal="left" vertical="center" wrapText="1"/>
      <protection hidden="1"/>
    </xf>
    <xf numFmtId="0" fontId="36" fillId="6" borderId="42" xfId="0" applyNumberFormat="1" applyFont="1" applyFill="1" applyBorder="1" applyAlignment="1" applyProtection="1">
      <alignment horizontal="left" vertical="center" wrapText="1"/>
      <protection hidden="1"/>
    </xf>
    <xf numFmtId="0" fontId="36" fillId="6" borderId="68" xfId="0" applyNumberFormat="1" applyFont="1" applyFill="1" applyBorder="1" applyAlignment="1" applyProtection="1">
      <alignment horizontal="left" vertical="center" wrapText="1"/>
      <protection hidden="1"/>
    </xf>
    <xf numFmtId="0" fontId="8" fillId="6" borderId="87" xfId="0" applyNumberFormat="1" applyFont="1" applyFill="1" applyBorder="1" applyAlignment="1" applyProtection="1">
      <alignment horizontal="center" vertical="center" shrinkToFit="1"/>
      <protection hidden="1"/>
    </xf>
    <xf numFmtId="0" fontId="8" fillId="6" borderId="11" xfId="0" applyNumberFormat="1" applyFont="1" applyFill="1" applyBorder="1" applyAlignment="1" applyProtection="1">
      <alignment horizontal="center" vertical="center" shrinkToFit="1"/>
      <protection hidden="1"/>
    </xf>
    <xf numFmtId="0" fontId="50" fillId="2" borderId="78" xfId="0" applyNumberFormat="1" applyFont="1" applyFill="1" applyBorder="1" applyAlignment="1" applyProtection="1">
      <alignment horizontal="center" vertical="center"/>
      <protection hidden="1"/>
    </xf>
    <xf numFmtId="0" fontId="50" fillId="2" borderId="1" xfId="0" applyNumberFormat="1" applyFont="1" applyFill="1" applyBorder="1" applyAlignment="1" applyProtection="1">
      <alignment horizontal="center" vertical="center"/>
      <protection hidden="1"/>
    </xf>
    <xf numFmtId="0" fontId="8" fillId="6" borderId="78" xfId="0" applyNumberFormat="1" applyFont="1" applyFill="1" applyBorder="1" applyAlignment="1" applyProtection="1">
      <alignment horizontal="center" vertical="center" shrinkToFit="1"/>
      <protection hidden="1"/>
    </xf>
    <xf numFmtId="0" fontId="8" fillId="6" borderId="1" xfId="0" applyNumberFormat="1" applyFont="1" applyFill="1" applyBorder="1" applyAlignment="1" applyProtection="1">
      <alignment horizontal="center" vertical="center" shrinkToFit="1"/>
      <protection hidden="1"/>
    </xf>
    <xf numFmtId="49" fontId="43" fillId="6" borderId="24" xfId="0" applyNumberFormat="1" applyFont="1" applyFill="1" applyBorder="1" applyAlignment="1" applyProtection="1">
      <alignment horizontal="center" shrinkToFit="1"/>
      <protection hidden="1"/>
    </xf>
    <xf numFmtId="49" fontId="43" fillId="6" borderId="25" xfId="0" applyNumberFormat="1" applyFont="1" applyFill="1" applyBorder="1" applyAlignment="1" applyProtection="1">
      <alignment horizontal="center" shrinkToFit="1"/>
      <protection hidden="1"/>
    </xf>
    <xf numFmtId="49" fontId="43" fillId="6" borderId="55" xfId="0" applyNumberFormat="1" applyFont="1" applyFill="1" applyBorder="1" applyAlignment="1" applyProtection="1">
      <alignment horizontal="center" shrinkToFit="1"/>
      <protection hidden="1"/>
    </xf>
    <xf numFmtId="49" fontId="43" fillId="6" borderId="50" xfId="0" applyNumberFormat="1" applyFont="1" applyFill="1" applyBorder="1" applyAlignment="1" applyProtection="1">
      <alignment horizontal="center" shrinkToFit="1"/>
      <protection hidden="1"/>
    </xf>
    <xf numFmtId="198" fontId="52" fillId="2" borderId="17" xfId="0" applyNumberFormat="1" applyFont="1" applyFill="1" applyBorder="1" applyAlignment="1" applyProtection="1">
      <alignment horizontal="center" vertical="center" shrinkToFit="1"/>
      <protection hidden="1"/>
    </xf>
    <xf numFmtId="198" fontId="52" fillId="2" borderId="44" xfId="0" applyNumberFormat="1" applyFont="1" applyFill="1" applyBorder="1" applyAlignment="1" applyProtection="1">
      <alignment horizontal="center" vertical="center" shrinkToFit="1"/>
      <protection hidden="1"/>
    </xf>
    <xf numFmtId="194" fontId="49" fillId="2" borderId="45" xfId="0" applyNumberFormat="1" applyFont="1" applyFill="1" applyBorder="1" applyAlignment="1" applyProtection="1">
      <alignment horizontal="center" vertical="center" shrinkToFit="1"/>
      <protection hidden="1"/>
    </xf>
    <xf numFmtId="194" fontId="49" fillId="2" borderId="58" xfId="0" applyNumberFormat="1" applyFont="1" applyFill="1" applyBorder="1" applyAlignment="1" applyProtection="1">
      <alignment horizontal="center" vertical="center" shrinkToFit="1"/>
      <protection hidden="1"/>
    </xf>
    <xf numFmtId="49" fontId="36" fillId="6" borderId="51" xfId="0" applyNumberFormat="1" applyFont="1" applyFill="1" applyBorder="1" applyAlignment="1" applyProtection="1">
      <alignment horizontal="center" vertical="top" shrinkToFit="1"/>
      <protection hidden="1"/>
    </xf>
    <xf numFmtId="49" fontId="36" fillId="6" borderId="67" xfId="0" applyNumberFormat="1" applyFont="1" applyFill="1" applyBorder="1" applyAlignment="1" applyProtection="1">
      <alignment horizontal="center" vertical="top" shrinkToFit="1"/>
      <protection hidden="1"/>
    </xf>
    <xf numFmtId="49" fontId="36" fillId="6" borderId="45" xfId="0" applyNumberFormat="1" applyFont="1" applyFill="1" applyBorder="1" applyAlignment="1" applyProtection="1">
      <alignment horizontal="center" vertical="top" shrinkToFit="1"/>
      <protection hidden="1"/>
    </xf>
    <xf numFmtId="49" fontId="36" fillId="6" borderId="66" xfId="0" applyNumberFormat="1" applyFont="1" applyFill="1" applyBorder="1" applyAlignment="1" applyProtection="1">
      <alignment horizontal="center" vertical="top" shrinkToFit="1"/>
      <protection hidden="1"/>
    </xf>
    <xf numFmtId="0" fontId="50" fillId="2" borderId="25" xfId="0" applyNumberFormat="1" applyFont="1" applyFill="1" applyBorder="1" applyAlignment="1" applyProtection="1">
      <alignment horizontal="center" vertical="center"/>
      <protection hidden="1"/>
    </xf>
    <xf numFmtId="0" fontId="50" fillId="2" borderId="50" xfId="0" applyNumberFormat="1" applyFont="1" applyFill="1" applyBorder="1" applyAlignment="1" applyProtection="1">
      <alignment horizontal="center" vertical="center"/>
      <protection hidden="1"/>
    </xf>
    <xf numFmtId="49" fontId="13" fillId="6" borderId="57" xfId="0" applyNumberFormat="1" applyFont="1" applyFill="1" applyBorder="1" applyAlignment="1" applyProtection="1">
      <alignment horizontal="center" vertical="center" wrapText="1"/>
      <protection hidden="1"/>
    </xf>
    <xf numFmtId="49" fontId="13" fillId="6" borderId="56" xfId="0" applyNumberFormat="1" applyFont="1" applyFill="1" applyBorder="1" applyAlignment="1" applyProtection="1">
      <alignment horizontal="center" vertical="center" wrapText="1"/>
      <protection hidden="1"/>
    </xf>
    <xf numFmtId="183" fontId="8" fillId="6" borderId="85" xfId="0" applyNumberFormat="1" applyFont="1" applyFill="1" applyBorder="1" applyAlignment="1" applyProtection="1">
      <alignment horizontal="center" vertical="center" shrinkToFit="1"/>
      <protection hidden="1"/>
    </xf>
    <xf numFmtId="183" fontId="8" fillId="6" borderId="53" xfId="0" applyNumberFormat="1" applyFont="1" applyFill="1" applyBorder="1" applyAlignment="1" applyProtection="1">
      <alignment horizontal="center" vertical="center" shrinkToFit="1"/>
      <protection hidden="1"/>
    </xf>
    <xf numFmtId="183" fontId="8" fillId="6" borderId="66" xfId="0" applyNumberFormat="1" applyFont="1" applyFill="1" applyBorder="1" applyAlignment="1" applyProtection="1">
      <alignment horizontal="center" vertical="center" shrinkToFit="1"/>
      <protection hidden="1"/>
    </xf>
    <xf numFmtId="192" fontId="49" fillId="2" borderId="77" xfId="0" applyNumberFormat="1" applyFont="1" applyFill="1" applyBorder="1" applyAlignment="1" applyProtection="1">
      <alignment horizontal="center" vertical="center" shrinkToFit="1"/>
      <protection hidden="1"/>
    </xf>
    <xf numFmtId="192" fontId="49" fillId="2" borderId="59" xfId="0" applyNumberFormat="1" applyFont="1" applyFill="1" applyBorder="1" applyAlignment="1" applyProtection="1">
      <alignment horizontal="center" vertical="center" shrinkToFit="1"/>
      <protection hidden="1"/>
    </xf>
    <xf numFmtId="183" fontId="36" fillId="6" borderId="85" xfId="0" applyNumberFormat="1" applyFont="1" applyFill="1" applyBorder="1" applyAlignment="1" applyProtection="1">
      <alignment horizontal="center" vertical="center" shrinkToFit="1"/>
      <protection hidden="1"/>
    </xf>
    <xf numFmtId="183" fontId="36" fillId="6" borderId="58" xfId="0" applyNumberFormat="1" applyFont="1" applyFill="1" applyBorder="1" applyAlignment="1" applyProtection="1">
      <alignment horizontal="center" vertical="center" shrinkToFit="1"/>
      <protection hidden="1"/>
    </xf>
    <xf numFmtId="49" fontId="36" fillId="6" borderId="24" xfId="0" applyNumberFormat="1" applyFont="1" applyFill="1" applyBorder="1" applyAlignment="1" applyProtection="1">
      <alignment horizontal="center" vertical="center" wrapText="1"/>
      <protection hidden="1"/>
    </xf>
    <xf numFmtId="49" fontId="36" fillId="6" borderId="78" xfId="0" applyNumberFormat="1" applyFont="1" applyFill="1" applyBorder="1" applyAlignment="1" applyProtection="1">
      <alignment horizontal="center" vertical="center" wrapText="1"/>
      <protection hidden="1"/>
    </xf>
    <xf numFmtId="49" fontId="36" fillId="6" borderId="79" xfId="0" applyNumberFormat="1" applyFont="1" applyFill="1" applyBorder="1" applyAlignment="1" applyProtection="1">
      <alignment horizontal="center" vertical="center" wrapText="1"/>
      <protection hidden="1"/>
    </xf>
    <xf numFmtId="49" fontId="36" fillId="6" borderId="55" xfId="0" applyNumberFormat="1" applyFont="1" applyFill="1" applyBorder="1" applyAlignment="1" applyProtection="1">
      <alignment horizontal="center" vertical="center" wrapText="1"/>
      <protection hidden="1"/>
    </xf>
    <xf numFmtId="49" fontId="36" fillId="6" borderId="1" xfId="0" applyNumberFormat="1" applyFont="1" applyFill="1" applyBorder="1" applyAlignment="1" applyProtection="1">
      <alignment horizontal="center" vertical="center" wrapText="1"/>
      <protection hidden="1"/>
    </xf>
    <xf numFmtId="49" fontId="36" fillId="6" borderId="54" xfId="0" applyNumberFormat="1" applyFont="1" applyFill="1" applyBorder="1" applyAlignment="1" applyProtection="1">
      <alignment horizontal="center" vertical="center" wrapText="1"/>
      <protection hidden="1"/>
    </xf>
    <xf numFmtId="199" fontId="36" fillId="6" borderId="4" xfId="0" applyNumberFormat="1" applyFont="1" applyFill="1" applyBorder="1" applyAlignment="1" applyProtection="1">
      <alignment horizontal="center" vertical="center"/>
      <protection hidden="1"/>
    </xf>
    <xf numFmtId="199" fontId="36" fillId="6" borderId="18" xfId="0" applyNumberFormat="1" applyFont="1" applyFill="1" applyBorder="1" applyAlignment="1" applyProtection="1">
      <alignment horizontal="center" vertical="center"/>
      <protection hidden="1"/>
    </xf>
    <xf numFmtId="200" fontId="8" fillId="6" borderId="17" xfId="0" applyNumberFormat="1" applyFont="1" applyFill="1" applyBorder="1" applyAlignment="1" applyProtection="1">
      <alignment horizontal="center" vertical="center" shrinkToFit="1"/>
      <protection hidden="1"/>
    </xf>
    <xf numFmtId="200" fontId="8" fillId="6" borderId="44" xfId="0" applyNumberFormat="1" applyFont="1" applyFill="1" applyBorder="1" applyAlignment="1" applyProtection="1">
      <alignment horizontal="center" vertical="center" shrinkToFit="1"/>
      <protection hidden="1"/>
    </xf>
    <xf numFmtId="192" fontId="49" fillId="2" borderId="45" xfId="0" applyNumberFormat="1" applyFont="1" applyFill="1" applyBorder="1" applyAlignment="1" applyProtection="1">
      <alignment horizontal="center" vertical="center" shrinkToFit="1"/>
      <protection hidden="1"/>
    </xf>
    <xf numFmtId="192" fontId="49" fillId="2" borderId="66" xfId="0" applyNumberFormat="1" applyFont="1" applyFill="1" applyBorder="1" applyAlignment="1" applyProtection="1">
      <alignment horizontal="center" vertical="center" shrinkToFit="1"/>
      <protection hidden="1"/>
    </xf>
    <xf numFmtId="203" fontId="36" fillId="6" borderId="19" xfId="0" applyNumberFormat="1" applyFont="1" applyFill="1" applyBorder="1" applyAlignment="1" applyProtection="1">
      <alignment horizontal="center" vertical="center" shrinkToFit="1"/>
      <protection hidden="1"/>
    </xf>
    <xf numFmtId="203" fontId="36" fillId="6" borderId="63" xfId="0" applyNumberFormat="1" applyFont="1" applyFill="1" applyBorder="1" applyAlignment="1" applyProtection="1">
      <alignment horizontal="center" vertical="center" shrinkToFit="1"/>
      <protection hidden="1"/>
    </xf>
    <xf numFmtId="204" fontId="50" fillId="2" borderId="64" xfId="0" applyNumberFormat="1" applyFont="1" applyFill="1" applyBorder="1" applyAlignment="1" applyProtection="1">
      <alignment horizontal="center" vertical="center"/>
      <protection hidden="1"/>
    </xf>
    <xf numFmtId="204" fontId="50" fillId="2" borderId="65" xfId="0" applyNumberFormat="1" applyFont="1" applyFill="1" applyBorder="1" applyAlignment="1" applyProtection="1">
      <alignment horizontal="center" vertical="center"/>
      <protection hidden="1"/>
    </xf>
    <xf numFmtId="205" fontId="53" fillId="2" borderId="64" xfId="0" applyNumberFormat="1" applyFont="1" applyFill="1" applyBorder="1" applyAlignment="1" applyProtection="1">
      <alignment horizontal="right" vertical="center" shrinkToFit="1"/>
      <protection hidden="1"/>
    </xf>
    <xf numFmtId="205" fontId="53" fillId="2" borderId="19" xfId="0" applyNumberFormat="1" applyFont="1" applyFill="1" applyBorder="1" applyAlignment="1" applyProtection="1">
      <alignment horizontal="right" vertical="center" shrinkToFit="1"/>
      <protection hidden="1"/>
    </xf>
    <xf numFmtId="206" fontId="53" fillId="2" borderId="19" xfId="0" applyNumberFormat="1" applyFont="1" applyFill="1" applyBorder="1" applyAlignment="1" applyProtection="1">
      <alignment horizontal="left" vertical="center" shrinkToFit="1"/>
      <protection hidden="1"/>
    </xf>
    <xf numFmtId="206" fontId="53" fillId="2" borderId="65" xfId="0" applyNumberFormat="1" applyFont="1" applyFill="1" applyBorder="1" applyAlignment="1" applyProtection="1">
      <alignment horizontal="left" vertical="center" shrinkToFit="1"/>
      <protection hidden="1"/>
    </xf>
    <xf numFmtId="205" fontId="53" fillId="2" borderId="62" xfId="0" applyNumberFormat="1" applyFont="1" applyFill="1" applyBorder="1" applyAlignment="1" applyProtection="1">
      <alignment horizontal="right" vertical="center" shrinkToFit="1"/>
      <protection hidden="1"/>
    </xf>
    <xf numFmtId="206" fontId="53" fillId="2" borderId="63" xfId="0" applyNumberFormat="1" applyFont="1" applyFill="1" applyBorder="1" applyAlignment="1" applyProtection="1">
      <alignment horizontal="left" vertical="center" shrinkToFit="1"/>
      <protection hidden="1"/>
    </xf>
    <xf numFmtId="49" fontId="13" fillId="6" borderId="87" xfId="0" applyNumberFormat="1" applyFont="1" applyFill="1" applyBorder="1" applyAlignment="1" applyProtection="1">
      <alignment horizontal="center" vertical="center" wrapText="1"/>
      <protection hidden="1"/>
    </xf>
    <xf numFmtId="49" fontId="13" fillId="6" borderId="11" xfId="0" applyNumberFormat="1" applyFont="1" applyFill="1" applyBorder="1" applyAlignment="1" applyProtection="1">
      <alignment horizontal="center" vertical="center" wrapText="1"/>
      <protection hidden="1"/>
    </xf>
    <xf numFmtId="49" fontId="36" fillId="6" borderId="87" xfId="0" applyNumberFormat="1" applyFont="1" applyFill="1" applyBorder="1" applyAlignment="1" applyProtection="1">
      <alignment horizontal="center" vertical="center" wrapText="1"/>
      <protection hidden="1"/>
    </xf>
    <xf numFmtId="49" fontId="36" fillId="6" borderId="11" xfId="0" applyNumberFormat="1" applyFont="1" applyFill="1" applyBorder="1" applyAlignment="1" applyProtection="1">
      <alignment horizontal="center" vertical="center" wrapText="1"/>
      <protection hidden="1"/>
    </xf>
    <xf numFmtId="0" fontId="13" fillId="6" borderId="85" xfId="0" applyNumberFormat="1" applyFont="1" applyFill="1" applyBorder="1" applyAlignment="1" applyProtection="1">
      <alignment horizontal="center" vertical="center" wrapText="1"/>
      <protection hidden="1"/>
    </xf>
    <xf numFmtId="0" fontId="13" fillId="6" borderId="58" xfId="0" applyNumberFormat="1" applyFont="1" applyFill="1" applyBorder="1" applyAlignment="1" applyProtection="1">
      <alignment horizontal="center" vertical="center" wrapText="1"/>
      <protection hidden="1"/>
    </xf>
    <xf numFmtId="193" fontId="49" fillId="2" borderId="88" xfId="0" applyNumberFormat="1" applyFont="1" applyFill="1" applyBorder="1" applyAlignment="1" applyProtection="1">
      <alignment horizontal="center" vertical="center" shrinkToFit="1"/>
      <protection hidden="1"/>
    </xf>
    <xf numFmtId="193" fontId="49" fillId="2" borderId="89" xfId="0" applyNumberFormat="1" applyFont="1" applyFill="1" applyBorder="1" applyAlignment="1" applyProtection="1">
      <alignment horizontal="center" vertical="center" shrinkToFit="1"/>
      <protection hidden="1"/>
    </xf>
    <xf numFmtId="0" fontId="43" fillId="6" borderId="77" xfId="0" applyNumberFormat="1" applyFont="1" applyFill="1" applyBorder="1" applyAlignment="1" applyProtection="1">
      <alignment horizontal="left" vertical="center" wrapText="1"/>
      <protection hidden="1"/>
    </xf>
    <xf numFmtId="0" fontId="43" fillId="6" borderId="42" xfId="0" applyNumberFormat="1" applyFont="1" applyFill="1" applyBorder="1" applyAlignment="1" applyProtection="1">
      <alignment horizontal="left" vertical="center" wrapText="1"/>
      <protection hidden="1"/>
    </xf>
    <xf numFmtId="0" fontId="43" fillId="6" borderId="68" xfId="0" applyNumberFormat="1" applyFont="1" applyFill="1" applyBorder="1" applyAlignment="1" applyProtection="1">
      <alignment horizontal="left" vertical="center" wrapText="1"/>
      <protection hidden="1"/>
    </xf>
    <xf numFmtId="0" fontId="36" fillId="6" borderId="24" xfId="0" applyNumberFormat="1" applyFont="1" applyFill="1" applyBorder="1" applyAlignment="1" applyProtection="1">
      <alignment horizontal="center" vertical="center" wrapText="1"/>
      <protection hidden="1"/>
    </xf>
    <xf numFmtId="0" fontId="36" fillId="6" borderId="78" xfId="0" applyNumberFormat="1" applyFont="1" applyFill="1" applyBorder="1" applyAlignment="1" applyProtection="1">
      <alignment horizontal="center" vertical="center" wrapText="1"/>
      <protection hidden="1"/>
    </xf>
    <xf numFmtId="0" fontId="36" fillId="6" borderId="79" xfId="0" applyNumberFormat="1" applyFont="1" applyFill="1" applyBorder="1" applyAlignment="1" applyProtection="1">
      <alignment horizontal="center" vertical="center" wrapText="1"/>
      <protection hidden="1"/>
    </xf>
    <xf numFmtId="0" fontId="36" fillId="6" borderId="55" xfId="0" applyNumberFormat="1" applyFont="1" applyFill="1" applyBorder="1" applyAlignment="1" applyProtection="1">
      <alignment horizontal="center" vertical="center" wrapText="1"/>
      <protection hidden="1"/>
    </xf>
    <xf numFmtId="0" fontId="36" fillId="6" borderId="1" xfId="0" applyNumberFormat="1" applyFont="1" applyFill="1" applyBorder="1" applyAlignment="1" applyProtection="1">
      <alignment horizontal="center" vertical="center" wrapText="1"/>
      <protection hidden="1"/>
    </xf>
    <xf numFmtId="0" fontId="36" fillId="6" borderId="54" xfId="0" applyNumberFormat="1" applyFont="1" applyFill="1" applyBorder="1" applyAlignment="1" applyProtection="1">
      <alignment horizontal="center" vertical="center" wrapText="1"/>
      <protection hidden="1"/>
    </xf>
    <xf numFmtId="0" fontId="13" fillId="6" borderId="87" xfId="0" applyNumberFormat="1" applyFont="1" applyFill="1" applyBorder="1" applyAlignment="1" applyProtection="1">
      <alignment horizontal="center" vertical="center" wrapText="1"/>
      <protection hidden="1"/>
    </xf>
    <xf numFmtId="0" fontId="13" fillId="6" borderId="11" xfId="0" applyNumberFormat="1" applyFont="1" applyFill="1" applyBorder="1" applyAlignment="1" applyProtection="1">
      <alignment horizontal="center" vertical="center" wrapText="1"/>
      <protection hidden="1"/>
    </xf>
    <xf numFmtId="0" fontId="36" fillId="6" borderId="87" xfId="0" applyNumberFormat="1" applyFont="1" applyFill="1" applyBorder="1" applyAlignment="1" applyProtection="1">
      <alignment horizontal="center" vertical="center" wrapText="1"/>
      <protection hidden="1"/>
    </xf>
    <xf numFmtId="0" fontId="36" fillId="6" borderId="11" xfId="0" applyNumberFormat="1" applyFont="1" applyFill="1" applyBorder="1" applyAlignment="1" applyProtection="1">
      <alignment horizontal="center" vertical="center" wrapText="1"/>
      <protection hidden="1"/>
    </xf>
    <xf numFmtId="0" fontId="13" fillId="6" borderId="57" xfId="0" applyNumberFormat="1" applyFont="1" applyFill="1" applyBorder="1" applyAlignment="1" applyProtection="1">
      <alignment horizontal="center" vertical="center" wrapText="1"/>
      <protection hidden="1"/>
    </xf>
    <xf numFmtId="0" fontId="13" fillId="6" borderId="56" xfId="0" applyNumberFormat="1" applyFont="1" applyFill="1" applyBorder="1" applyAlignment="1" applyProtection="1">
      <alignment horizontal="center" vertical="center" wrapText="1"/>
      <protection hidden="1"/>
    </xf>
    <xf numFmtId="0" fontId="36" fillId="6" borderId="77" xfId="0" applyNumberFormat="1" applyFont="1" applyFill="1" applyBorder="1" applyAlignment="1" applyProtection="1">
      <alignment horizontal="center" vertical="center" wrapText="1"/>
      <protection hidden="1"/>
    </xf>
    <xf numFmtId="0" fontId="36" fillId="6" borderId="42" xfId="0" applyNumberFormat="1" applyFont="1" applyFill="1" applyBorder="1" applyAlignment="1" applyProtection="1">
      <alignment horizontal="center" vertical="center" wrapText="1"/>
      <protection hidden="1"/>
    </xf>
    <xf numFmtId="0" fontId="36" fillId="6" borderId="68" xfId="0" applyNumberFormat="1" applyFont="1" applyFill="1" applyBorder="1" applyAlignment="1" applyProtection="1">
      <alignment horizontal="center" vertical="center" wrapText="1"/>
      <protection hidden="1"/>
    </xf>
    <xf numFmtId="182" fontId="8" fillId="6" borderId="85" xfId="0" applyNumberFormat="1" applyFont="1" applyFill="1" applyBorder="1" applyAlignment="1" applyProtection="1">
      <alignment horizontal="center" vertical="center" shrinkToFit="1"/>
      <protection hidden="1"/>
    </xf>
    <xf numFmtId="182" fontId="8" fillId="6" borderId="53" xfId="0" applyNumberFormat="1" applyFont="1" applyFill="1" applyBorder="1" applyAlignment="1" applyProtection="1">
      <alignment horizontal="center" vertical="center" shrinkToFit="1"/>
      <protection hidden="1"/>
    </xf>
    <xf numFmtId="182" fontId="8" fillId="6" borderId="66" xfId="0" applyNumberFormat="1" applyFont="1" applyFill="1" applyBorder="1" applyAlignment="1" applyProtection="1">
      <alignment horizontal="center" vertical="center" shrinkToFit="1"/>
      <protection hidden="1"/>
    </xf>
    <xf numFmtId="49" fontId="43" fillId="6" borderId="24" xfId="0" applyNumberFormat="1" applyFont="1" applyFill="1" applyBorder="1" applyAlignment="1" applyProtection="1">
      <alignment horizontal="center" wrapText="1" shrinkToFit="1"/>
      <protection hidden="1"/>
    </xf>
    <xf numFmtId="0" fontId="0" fillId="2" borderId="94" xfId="0" applyFill="1" applyBorder="1" applyAlignment="1" applyProtection="1">
      <alignment horizontal="center"/>
      <protection hidden="1"/>
    </xf>
    <xf numFmtId="0" fontId="0" fillId="2" borderId="78" xfId="0" applyFill="1" applyBorder="1" applyAlignment="1" applyProtection="1">
      <alignment horizontal="center"/>
      <protection hidden="1"/>
    </xf>
    <xf numFmtId="0" fontId="0" fillId="2" borderId="79" xfId="0" applyFill="1" applyBorder="1" applyAlignment="1" applyProtection="1">
      <alignment horizontal="center"/>
      <protection hidden="1"/>
    </xf>
    <xf numFmtId="0" fontId="0" fillId="2" borderId="95" xfId="0" applyFill="1" applyBorder="1" applyAlignment="1" applyProtection="1">
      <alignment horizontal="center"/>
      <protection hidden="1"/>
    </xf>
    <xf numFmtId="0" fontId="0" fillId="2" borderId="0" xfId="0" applyFill="1" applyBorder="1" applyAlignment="1" applyProtection="1">
      <alignment horizontal="center"/>
      <protection hidden="1"/>
    </xf>
    <xf numFmtId="0" fontId="0" fillId="2" borderId="74" xfId="0" applyFill="1" applyBorder="1" applyAlignment="1" applyProtection="1">
      <alignment horizontal="center"/>
      <protection hidden="1"/>
    </xf>
    <xf numFmtId="0" fontId="0" fillId="2" borderId="96" xfId="0" applyFill="1" applyBorder="1" applyAlignment="1" applyProtection="1">
      <alignment horizontal="center"/>
      <protection hidden="1"/>
    </xf>
    <xf numFmtId="0" fontId="0" fillId="2" borderId="26" xfId="0" applyFill="1" applyBorder="1" applyAlignment="1" applyProtection="1">
      <alignment horizontal="center"/>
      <protection hidden="1"/>
    </xf>
    <xf numFmtId="0" fontId="0" fillId="2" borderId="90" xfId="0" applyFill="1" applyBorder="1" applyAlignment="1" applyProtection="1">
      <alignment horizontal="center"/>
      <protection hidden="1"/>
    </xf>
    <xf numFmtId="0" fontId="0" fillId="2" borderId="87" xfId="0" applyFill="1" applyBorder="1" applyAlignment="1" applyProtection="1">
      <alignment horizontal="center"/>
      <protection hidden="1"/>
    </xf>
    <xf numFmtId="0" fontId="0" fillId="2" borderId="75" xfId="0" applyFill="1" applyBorder="1" applyAlignment="1" applyProtection="1">
      <alignment horizontal="center"/>
      <protection hidden="1"/>
    </xf>
    <xf numFmtId="0" fontId="0" fillId="2" borderId="13" xfId="0" applyFill="1" applyBorder="1" applyAlignment="1" applyProtection="1">
      <alignment horizontal="center"/>
      <protection hidden="1"/>
    </xf>
    <xf numFmtId="0" fontId="0" fillId="2" borderId="81" xfId="0" applyFill="1" applyBorder="1" applyAlignment="1" applyProtection="1">
      <alignment horizontal="center"/>
      <protection hidden="1"/>
    </xf>
    <xf numFmtId="0" fontId="0" fillId="2" borderId="61" xfId="0" applyFill="1" applyBorder="1" applyAlignment="1" applyProtection="1">
      <alignment horizontal="center"/>
      <protection hidden="1"/>
    </xf>
    <xf numFmtId="0" fontId="0" fillId="2" borderId="84" xfId="0" applyFill="1" applyBorder="1" applyAlignment="1" applyProtection="1">
      <alignment horizontal="center"/>
      <protection hidden="1"/>
    </xf>
    <xf numFmtId="49" fontId="165" fillId="2" borderId="98" xfId="0" applyNumberFormat="1" applyFont="1" applyFill="1" applyBorder="1" applyAlignment="1" applyProtection="1">
      <alignment horizontal="left" vertical="center"/>
      <protection hidden="1"/>
    </xf>
    <xf numFmtId="49" fontId="166" fillId="2" borderId="99" xfId="0" applyNumberFormat="1" applyFont="1" applyFill="1" applyBorder="1" applyAlignment="1" applyProtection="1">
      <alignment horizontal="left" vertical="center"/>
      <protection hidden="1"/>
    </xf>
    <xf numFmtId="49" fontId="166" fillId="2" borderId="100" xfId="0" applyNumberFormat="1" applyFont="1" applyFill="1" applyBorder="1" applyAlignment="1" applyProtection="1">
      <alignment horizontal="left" vertical="center"/>
      <protection hidden="1"/>
    </xf>
    <xf numFmtId="0" fontId="137" fillId="2" borderId="98" xfId="0" applyNumberFormat="1" applyFont="1" applyFill="1" applyBorder="1" applyAlignment="1" applyProtection="1">
      <alignment horizontal="left" vertical="center" wrapText="1"/>
      <protection hidden="1"/>
    </xf>
    <xf numFmtId="0" fontId="55" fillId="2" borderId="99" xfId="0" applyNumberFormat="1" applyFont="1" applyFill="1" applyBorder="1" applyAlignment="1" applyProtection="1">
      <alignment horizontal="left" vertical="center" wrapText="1"/>
      <protection hidden="1"/>
    </xf>
    <xf numFmtId="0" fontId="55" fillId="2" borderId="100" xfId="0" applyNumberFormat="1" applyFont="1" applyFill="1" applyBorder="1" applyAlignment="1" applyProtection="1">
      <alignment horizontal="left" vertical="center" wrapText="1"/>
      <protection hidden="1"/>
    </xf>
    <xf numFmtId="0" fontId="170" fillId="2" borderId="98" xfId="0" applyNumberFormat="1" applyFont="1" applyFill="1" applyBorder="1" applyAlignment="1" applyProtection="1">
      <alignment horizontal="center" vertical="center" wrapText="1"/>
      <protection hidden="1"/>
    </xf>
    <xf numFmtId="0" fontId="172" fillId="2" borderId="99" xfId="0" applyNumberFormat="1" applyFont="1" applyFill="1" applyBorder="1" applyAlignment="1" applyProtection="1">
      <alignment horizontal="center" vertical="center" wrapText="1"/>
      <protection hidden="1"/>
    </xf>
    <xf numFmtId="0" fontId="172" fillId="2" borderId="100" xfId="0" applyNumberFormat="1" applyFont="1" applyFill="1" applyBorder="1" applyAlignment="1" applyProtection="1">
      <alignment horizontal="center" vertical="center" wrapText="1"/>
      <protection hidden="1"/>
    </xf>
    <xf numFmtId="49" fontId="174" fillId="2" borderId="98" xfId="0" applyNumberFormat="1" applyFont="1" applyFill="1" applyBorder="1" applyAlignment="1" applyProtection="1">
      <alignment horizontal="center" vertical="center" shrinkToFit="1"/>
      <protection hidden="1"/>
    </xf>
    <xf numFmtId="49" fontId="174" fillId="2" borderId="99" xfId="0" applyNumberFormat="1" applyFont="1" applyFill="1" applyBorder="1" applyAlignment="1" applyProtection="1">
      <alignment horizontal="center" vertical="center" shrinkToFit="1"/>
      <protection hidden="1"/>
    </xf>
    <xf numFmtId="49" fontId="174" fillId="2" borderId="100" xfId="0" applyNumberFormat="1" applyFont="1" applyFill="1" applyBorder="1" applyAlignment="1" applyProtection="1">
      <alignment horizontal="center" vertical="center" shrinkToFit="1"/>
      <protection hidden="1"/>
    </xf>
    <xf numFmtId="49" fontId="175" fillId="2" borderId="98" xfId="0" applyNumberFormat="1" applyFont="1" applyFill="1" applyBorder="1" applyAlignment="1" applyProtection="1">
      <alignment horizontal="center" vertical="center" shrinkToFit="1"/>
      <protection hidden="1"/>
    </xf>
    <xf numFmtId="49" fontId="175" fillId="2" borderId="99" xfId="0" applyNumberFormat="1" applyFont="1" applyFill="1" applyBorder="1" applyAlignment="1" applyProtection="1">
      <alignment horizontal="center" vertical="center" shrinkToFit="1"/>
      <protection hidden="1"/>
    </xf>
    <xf numFmtId="49" fontId="175" fillId="2" borderId="100" xfId="0" applyNumberFormat="1" applyFont="1" applyFill="1" applyBorder="1" applyAlignment="1" applyProtection="1">
      <alignment horizontal="center" vertical="center" shrinkToFit="1"/>
      <protection hidden="1"/>
    </xf>
    <xf numFmtId="0" fontId="114" fillId="8" borderId="0" xfId="0" applyFont="1" applyFill="1" applyBorder="1" applyAlignment="1" applyProtection="1">
      <alignment horizontal="center" vertical="center"/>
      <protection hidden="1"/>
    </xf>
    <xf numFmtId="0" fontId="116" fillId="9" borderId="1" xfId="0" applyFont="1" applyFill="1" applyBorder="1" applyAlignment="1" applyProtection="1">
      <alignment horizontal="center"/>
      <protection hidden="1"/>
    </xf>
    <xf numFmtId="0" fontId="117" fillId="9" borderId="1" xfId="0" applyFont="1" applyFill="1" applyBorder="1" applyAlignment="1" applyProtection="1">
      <alignment horizontal="center"/>
      <protection hidden="1"/>
    </xf>
    <xf numFmtId="0" fontId="116" fillId="9" borderId="1" xfId="0" applyFont="1" applyFill="1" applyBorder="1" applyAlignment="1" applyProtection="1">
      <alignment horizontal="center" vertical="center"/>
      <protection hidden="1"/>
    </xf>
    <xf numFmtId="0" fontId="7" fillId="12" borderId="102" xfId="1" applyFont="1" applyFill="1" applyBorder="1" applyAlignment="1" applyProtection="1">
      <alignment horizontal="right" shrinkToFit="1"/>
      <protection hidden="1"/>
    </xf>
    <xf numFmtId="0" fontId="7" fillId="12" borderId="37" xfId="1" applyFont="1" applyFill="1" applyBorder="1" applyAlignment="1" applyProtection="1">
      <alignment horizontal="right" shrinkToFit="1"/>
      <protection hidden="1"/>
    </xf>
    <xf numFmtId="0" fontId="7" fillId="12" borderId="103" xfId="1" applyFont="1" applyFill="1" applyBorder="1" applyAlignment="1" applyProtection="1">
      <alignment horizontal="right" shrinkToFit="1"/>
      <protection hidden="1"/>
    </xf>
    <xf numFmtId="0" fontId="36" fillId="2" borderId="103" xfId="1" applyFont="1" applyFill="1" applyBorder="1" applyAlignment="1" applyProtection="1">
      <alignment horizontal="center" shrinkToFit="1"/>
      <protection hidden="1"/>
    </xf>
    <xf numFmtId="0" fontId="36" fillId="2" borderId="38" xfId="1" applyFont="1" applyFill="1" applyBorder="1" applyAlignment="1" applyProtection="1">
      <alignment horizontal="center" shrinkToFit="1"/>
      <protection hidden="1"/>
    </xf>
    <xf numFmtId="49" fontId="47" fillId="13" borderId="38" xfId="1" applyNumberFormat="1" applyFont="1" applyFill="1" applyBorder="1" applyAlignment="1" applyProtection="1">
      <alignment horizontal="right" shrinkToFit="1"/>
      <protection hidden="1"/>
    </xf>
    <xf numFmtId="49" fontId="47" fillId="13" borderId="37" xfId="1" applyNumberFormat="1" applyFont="1" applyFill="1" applyBorder="1" applyAlignment="1" applyProtection="1">
      <alignment horizontal="right" shrinkToFit="1"/>
      <protection hidden="1"/>
    </xf>
    <xf numFmtId="49" fontId="47" fillId="13" borderId="33" xfId="1" applyNumberFormat="1" applyFont="1" applyFill="1" applyBorder="1" applyAlignment="1" applyProtection="1">
      <alignment horizontal="center" shrinkToFit="1"/>
      <protection hidden="1"/>
    </xf>
    <xf numFmtId="49" fontId="47" fillId="13" borderId="34" xfId="1" applyNumberFormat="1" applyFont="1" applyFill="1" applyBorder="1" applyAlignment="1" applyProtection="1">
      <alignment horizontal="center" shrinkToFit="1"/>
      <protection hidden="1"/>
    </xf>
    <xf numFmtId="49" fontId="47" fillId="13" borderId="35" xfId="1" applyNumberFormat="1" applyFont="1" applyFill="1" applyBorder="1" applyAlignment="1" applyProtection="1">
      <alignment horizontal="center" shrinkToFit="1"/>
      <protection hidden="1"/>
    </xf>
    <xf numFmtId="49" fontId="48" fillId="13" borderId="36" xfId="1" applyNumberFormat="1" applyFont="1" applyFill="1" applyBorder="1" applyAlignment="1" applyProtection="1">
      <alignment horizontal="left" vertical="center" shrinkToFit="1"/>
      <protection hidden="1"/>
    </xf>
    <xf numFmtId="49" fontId="48" fillId="13" borderId="28" xfId="1" applyNumberFormat="1" applyFont="1" applyFill="1" applyBorder="1" applyAlignment="1" applyProtection="1">
      <alignment horizontal="left" vertical="center" shrinkToFit="1"/>
      <protection hidden="1"/>
    </xf>
    <xf numFmtId="49" fontId="48" fillId="13" borderId="32" xfId="1" applyNumberFormat="1" applyFont="1" applyFill="1" applyBorder="1" applyAlignment="1" applyProtection="1">
      <alignment horizontal="left" vertical="center" shrinkToFit="1"/>
      <protection hidden="1"/>
    </xf>
    <xf numFmtId="49" fontId="129" fillId="2" borderId="48" xfId="1" applyNumberFormat="1" applyFont="1" applyFill="1" applyBorder="1" applyAlignment="1" applyProtection="1">
      <alignment horizontal="center" vertical="top" shrinkToFit="1"/>
      <protection hidden="1"/>
    </xf>
    <xf numFmtId="0" fontId="130" fillId="2" borderId="0" xfId="1" applyNumberFormat="1" applyFont="1" applyFill="1" applyBorder="1" applyAlignment="1" applyProtection="1">
      <alignment horizontal="center" vertical="top" shrinkToFit="1"/>
      <protection hidden="1"/>
    </xf>
    <xf numFmtId="0" fontId="130" fillId="2" borderId="81" xfId="1" applyNumberFormat="1" applyFont="1" applyFill="1" applyBorder="1" applyAlignment="1" applyProtection="1">
      <alignment horizontal="center" vertical="top" shrinkToFit="1"/>
      <protection hidden="1"/>
    </xf>
    <xf numFmtId="0" fontId="130" fillId="2" borderId="107" xfId="1" applyNumberFormat="1" applyFont="1" applyFill="1" applyBorder="1" applyAlignment="1" applyProtection="1">
      <alignment horizontal="center" vertical="top" shrinkToFit="1"/>
      <protection hidden="1"/>
    </xf>
    <xf numFmtId="0" fontId="130" fillId="2" borderId="26" xfId="1" applyNumberFormat="1" applyFont="1" applyFill="1" applyBorder="1" applyAlignment="1" applyProtection="1">
      <alignment horizontal="center" vertical="top" shrinkToFit="1"/>
      <protection hidden="1"/>
    </xf>
    <xf numFmtId="0" fontId="130" fillId="2" borderId="84" xfId="1" applyNumberFormat="1" applyFont="1" applyFill="1" applyBorder="1" applyAlignment="1" applyProtection="1">
      <alignment horizontal="center" vertical="top" shrinkToFit="1"/>
      <protection hidden="1"/>
    </xf>
    <xf numFmtId="0" fontId="7" fillId="12" borderId="20" xfId="1" applyFont="1" applyFill="1" applyBorder="1" applyAlignment="1" applyProtection="1">
      <alignment horizontal="right" shrinkToFit="1"/>
      <protection hidden="1"/>
    </xf>
    <xf numFmtId="0" fontId="7" fillId="12" borderId="93" xfId="1" applyFont="1" applyFill="1" applyBorder="1" applyAlignment="1" applyProtection="1">
      <alignment horizontal="right" shrinkToFit="1"/>
      <protection hidden="1"/>
    </xf>
    <xf numFmtId="0" fontId="7" fillId="12" borderId="52" xfId="1" applyFont="1" applyFill="1" applyBorder="1" applyAlignment="1" applyProtection="1">
      <alignment horizontal="right" shrinkToFit="1"/>
      <protection hidden="1"/>
    </xf>
    <xf numFmtId="0" fontId="36" fillId="2" borderId="52" xfId="1" applyFont="1" applyFill="1" applyBorder="1" applyAlignment="1" applyProtection="1">
      <alignment horizontal="center" shrinkToFit="1"/>
      <protection hidden="1"/>
    </xf>
    <xf numFmtId="0" fontId="36" fillId="2" borderId="9" xfId="1" applyFont="1" applyFill="1" applyBorder="1" applyAlignment="1" applyProtection="1">
      <alignment horizontal="center" shrinkToFit="1"/>
      <protection hidden="1"/>
    </xf>
    <xf numFmtId="49" fontId="47" fillId="13" borderId="9" xfId="1" applyNumberFormat="1" applyFont="1" applyFill="1" applyBorder="1" applyAlignment="1" applyProtection="1">
      <alignment horizontal="right" shrinkToFit="1"/>
      <protection hidden="1"/>
    </xf>
    <xf numFmtId="49" fontId="47" fillId="13" borderId="93" xfId="1" applyNumberFormat="1" applyFont="1" applyFill="1" applyBorder="1" applyAlignment="1" applyProtection="1">
      <alignment horizontal="right" shrinkToFit="1"/>
      <protection hidden="1"/>
    </xf>
    <xf numFmtId="49" fontId="48" fillId="13" borderId="17" xfId="1" applyNumberFormat="1" applyFont="1" applyFill="1" applyBorder="1" applyAlignment="1" applyProtection="1">
      <alignment horizontal="center" shrinkToFit="1"/>
      <protection hidden="1"/>
    </xf>
    <xf numFmtId="49" fontId="48" fillId="13" borderId="4" xfId="1" applyNumberFormat="1" applyFont="1" applyFill="1" applyBorder="1" applyAlignment="1" applyProtection="1">
      <alignment horizontal="center" shrinkToFit="1"/>
      <protection hidden="1"/>
    </xf>
    <xf numFmtId="49" fontId="48" fillId="13" borderId="44" xfId="1" applyNumberFormat="1" applyFont="1" applyFill="1" applyBorder="1" applyAlignment="1" applyProtection="1">
      <alignment horizontal="center" shrinkToFit="1"/>
      <protection hidden="1"/>
    </xf>
    <xf numFmtId="49" fontId="47" fillId="13" borderId="17" xfId="1" applyNumberFormat="1" applyFont="1" applyFill="1" applyBorder="1" applyAlignment="1" applyProtection="1">
      <alignment horizontal="left" vertical="center" shrinkToFit="1"/>
      <protection hidden="1"/>
    </xf>
    <xf numFmtId="49" fontId="47" fillId="13" borderId="4" xfId="1" applyNumberFormat="1" applyFont="1" applyFill="1" applyBorder="1" applyAlignment="1" applyProtection="1">
      <alignment horizontal="left" vertical="center" shrinkToFit="1"/>
      <protection hidden="1"/>
    </xf>
    <xf numFmtId="49" fontId="47" fillId="13" borderId="18" xfId="1" applyNumberFormat="1" applyFont="1" applyFill="1" applyBorder="1" applyAlignment="1" applyProtection="1">
      <alignment horizontal="left" vertical="center" shrinkToFit="1"/>
      <protection hidden="1"/>
    </xf>
    <xf numFmtId="0" fontId="7" fillId="12" borderId="12" xfId="1" applyFont="1" applyFill="1" applyBorder="1" applyAlignment="1" applyProtection="1">
      <alignment horizontal="right" shrinkToFit="1"/>
      <protection hidden="1"/>
    </xf>
    <xf numFmtId="0" fontId="7" fillId="12" borderId="44" xfId="1" applyFont="1" applyFill="1" applyBorder="1" applyAlignment="1" applyProtection="1">
      <alignment horizontal="right" shrinkToFit="1"/>
      <protection hidden="1"/>
    </xf>
    <xf numFmtId="0" fontId="7" fillId="12" borderId="46" xfId="1" applyFont="1" applyFill="1" applyBorder="1" applyAlignment="1" applyProtection="1">
      <alignment horizontal="right" shrinkToFit="1"/>
      <protection hidden="1"/>
    </xf>
    <xf numFmtId="0" fontId="36" fillId="2" borderId="46" xfId="1" applyFont="1" applyFill="1" applyBorder="1" applyAlignment="1" applyProtection="1">
      <alignment horizontal="center" shrinkToFit="1"/>
      <protection hidden="1"/>
    </xf>
    <xf numFmtId="0" fontId="36" fillId="2" borderId="6" xfId="1" applyFont="1" applyFill="1" applyBorder="1" applyAlignment="1" applyProtection="1">
      <alignment horizontal="center" shrinkToFit="1"/>
      <protection hidden="1"/>
    </xf>
    <xf numFmtId="49" fontId="47" fillId="13" borderId="6" xfId="1" applyNumberFormat="1" applyFont="1" applyFill="1" applyBorder="1" applyAlignment="1" applyProtection="1">
      <alignment horizontal="right" shrinkToFit="1"/>
      <protection hidden="1"/>
    </xf>
    <xf numFmtId="49" fontId="47" fillId="13" borderId="44" xfId="1" applyNumberFormat="1" applyFont="1" applyFill="1" applyBorder="1" applyAlignment="1" applyProtection="1">
      <alignment horizontal="right" shrinkToFit="1"/>
      <protection hidden="1"/>
    </xf>
    <xf numFmtId="49" fontId="48" fillId="13" borderId="48" xfId="1" applyNumberFormat="1" applyFont="1" applyFill="1" applyBorder="1" applyAlignment="1" applyProtection="1">
      <alignment horizontal="center"/>
      <protection hidden="1"/>
    </xf>
    <xf numFmtId="49" fontId="48" fillId="13" borderId="0" xfId="1" applyNumberFormat="1" applyFont="1" applyFill="1" applyBorder="1" applyAlignment="1" applyProtection="1">
      <alignment horizontal="center"/>
      <protection hidden="1"/>
    </xf>
    <xf numFmtId="49" fontId="48" fillId="13" borderId="74" xfId="1" applyNumberFormat="1" applyFont="1" applyFill="1" applyBorder="1" applyAlignment="1" applyProtection="1">
      <alignment horizontal="center"/>
      <protection hidden="1"/>
    </xf>
    <xf numFmtId="49" fontId="48" fillId="13" borderId="55" xfId="1" applyNumberFormat="1" applyFont="1" applyFill="1" applyBorder="1" applyAlignment="1" applyProtection="1">
      <alignment horizontal="left" vertical="center" shrinkToFit="1"/>
      <protection hidden="1"/>
    </xf>
    <xf numFmtId="49" fontId="48" fillId="13" borderId="1" xfId="1" applyNumberFormat="1" applyFont="1" applyFill="1" applyBorder="1" applyAlignment="1" applyProtection="1">
      <alignment horizontal="left" vertical="center" shrinkToFit="1"/>
      <protection hidden="1"/>
    </xf>
    <xf numFmtId="49" fontId="48" fillId="13" borderId="50" xfId="1" applyNumberFormat="1" applyFont="1" applyFill="1" applyBorder="1" applyAlignment="1" applyProtection="1">
      <alignment horizontal="left" vertical="center" shrinkToFit="1"/>
      <protection hidden="1"/>
    </xf>
    <xf numFmtId="0" fontId="139" fillId="12" borderId="95" xfId="1" applyNumberFormat="1" applyFont="1" applyFill="1" applyBorder="1" applyAlignment="1" applyProtection="1">
      <alignment horizontal="right" vertical="center" shrinkToFit="1"/>
      <protection hidden="1"/>
    </xf>
    <xf numFmtId="0" fontId="139" fillId="12" borderId="0" xfId="1" applyNumberFormat="1" applyFont="1" applyFill="1" applyBorder="1" applyAlignment="1" applyProtection="1">
      <alignment horizontal="right" vertical="center" shrinkToFit="1"/>
      <protection hidden="1"/>
    </xf>
    <xf numFmtId="0" fontId="139" fillId="12" borderId="74" xfId="1" applyNumberFormat="1" applyFont="1" applyFill="1" applyBorder="1" applyAlignment="1" applyProtection="1">
      <alignment horizontal="right" vertical="center" shrinkToFit="1"/>
      <protection hidden="1"/>
    </xf>
    <xf numFmtId="215" fontId="47" fillId="2" borderId="61" xfId="1" applyNumberFormat="1" applyFont="1" applyFill="1" applyBorder="1" applyAlignment="1" applyProtection="1">
      <alignment horizontal="center" vertical="center" shrinkToFit="1"/>
      <protection hidden="1"/>
    </xf>
    <xf numFmtId="215" fontId="47" fillId="2" borderId="26" xfId="1" applyNumberFormat="1" applyFont="1" applyFill="1" applyBorder="1" applyAlignment="1" applyProtection="1">
      <alignment horizontal="center" vertical="center" shrinkToFit="1"/>
      <protection hidden="1"/>
    </xf>
    <xf numFmtId="215" fontId="47" fillId="2" borderId="109" xfId="1" applyNumberFormat="1" applyFont="1" applyFill="1" applyBorder="1" applyAlignment="1" applyProtection="1">
      <alignment horizontal="center" vertical="center" shrinkToFit="1"/>
      <protection hidden="1"/>
    </xf>
    <xf numFmtId="49" fontId="48" fillId="13" borderId="92" xfId="1" applyNumberFormat="1" applyFont="1" applyFill="1" applyBorder="1" applyAlignment="1" applyProtection="1">
      <alignment horizontal="center" vertical="center" shrinkToFit="1"/>
      <protection hidden="1"/>
    </xf>
    <xf numFmtId="49" fontId="48" fillId="13" borderId="7" xfId="1" applyNumberFormat="1" applyFont="1" applyFill="1" applyBorder="1" applyAlignment="1" applyProtection="1">
      <alignment horizontal="center" vertical="center" shrinkToFit="1"/>
      <protection hidden="1"/>
    </xf>
    <xf numFmtId="49" fontId="48" fillId="13" borderId="93" xfId="1" applyNumberFormat="1" applyFont="1" applyFill="1" applyBorder="1" applyAlignment="1" applyProtection="1">
      <alignment horizontal="center" vertical="center" shrinkToFit="1"/>
      <protection hidden="1"/>
    </xf>
    <xf numFmtId="185" fontId="127" fillId="2" borderId="92" xfId="1" applyNumberFormat="1" applyFont="1" applyFill="1" applyBorder="1" applyAlignment="1" applyProtection="1">
      <alignment horizontal="center" vertical="center"/>
      <protection hidden="1"/>
    </xf>
    <xf numFmtId="185" fontId="127" fillId="2" borderId="7" xfId="1" applyNumberFormat="1" applyFont="1" applyFill="1" applyBorder="1" applyAlignment="1" applyProtection="1">
      <alignment horizontal="center" vertical="center"/>
      <protection hidden="1"/>
    </xf>
    <xf numFmtId="49" fontId="15" fillId="2" borderId="107" xfId="1" applyNumberFormat="1" applyFont="1" applyFill="1" applyBorder="1" applyAlignment="1" applyProtection="1">
      <alignment horizontal="center" vertical="center" shrinkToFit="1"/>
      <protection hidden="1"/>
    </xf>
    <xf numFmtId="49" fontId="15" fillId="2" borderId="26" xfId="1" applyNumberFormat="1" applyFont="1" applyFill="1" applyBorder="1" applyAlignment="1" applyProtection="1">
      <alignment horizontal="center" vertical="center" shrinkToFit="1"/>
      <protection hidden="1"/>
    </xf>
    <xf numFmtId="49" fontId="15" fillId="2" borderId="84" xfId="1" applyNumberFormat="1" applyFont="1" applyFill="1" applyBorder="1" applyAlignment="1" applyProtection="1">
      <alignment horizontal="center" vertical="center" shrinkToFit="1"/>
      <protection hidden="1"/>
    </xf>
    <xf numFmtId="49" fontId="135" fillId="2" borderId="17" xfId="1" applyNumberFormat="1" applyFont="1" applyFill="1" applyBorder="1" applyAlignment="1" applyProtection="1">
      <alignment horizontal="left" vertical="center" shrinkToFit="1"/>
      <protection hidden="1"/>
    </xf>
    <xf numFmtId="49" fontId="135" fillId="2" borderId="4" xfId="1" applyNumberFormat="1" applyFont="1" applyFill="1" applyBorder="1" applyAlignment="1" applyProtection="1">
      <alignment horizontal="left" vertical="center" shrinkToFit="1"/>
      <protection hidden="1"/>
    </xf>
    <xf numFmtId="49" fontId="48" fillId="2" borderId="6" xfId="1" applyNumberFormat="1" applyFont="1" applyFill="1" applyBorder="1" applyAlignment="1" applyProtection="1">
      <alignment horizontal="left" vertical="center" shrinkToFit="1"/>
      <protection hidden="1"/>
    </xf>
    <xf numFmtId="49" fontId="48" fillId="2" borderId="5" xfId="1" applyNumberFormat="1" applyFont="1" applyFill="1" applyBorder="1" applyAlignment="1" applyProtection="1">
      <alignment horizontal="left" vertical="center" shrinkToFit="1"/>
      <protection hidden="1"/>
    </xf>
    <xf numFmtId="0" fontId="47" fillId="12" borderId="95" xfId="1" applyFont="1" applyFill="1" applyBorder="1" applyAlignment="1" applyProtection="1">
      <alignment horizontal="center" shrinkToFit="1"/>
      <protection hidden="1"/>
    </xf>
    <xf numFmtId="0" fontId="47" fillId="12" borderId="0" xfId="1" applyFont="1" applyFill="1" applyBorder="1" applyAlignment="1" applyProtection="1">
      <alignment horizontal="center" shrinkToFit="1"/>
      <protection hidden="1"/>
    </xf>
    <xf numFmtId="49" fontId="47" fillId="13" borderId="9" xfId="1" applyNumberFormat="1" applyFont="1" applyFill="1" applyBorder="1" applyAlignment="1" applyProtection="1">
      <alignment horizontal="left" shrinkToFit="1"/>
      <protection hidden="1"/>
    </xf>
    <xf numFmtId="49" fontId="47" fillId="13" borderId="7" xfId="1" applyNumberFormat="1" applyFont="1" applyFill="1" applyBorder="1" applyAlignment="1" applyProtection="1">
      <alignment horizontal="left" shrinkToFit="1"/>
      <protection hidden="1"/>
    </xf>
    <xf numFmtId="49" fontId="47" fillId="13" borderId="91" xfId="1" applyNumberFormat="1" applyFont="1" applyFill="1" applyBorder="1" applyAlignment="1" applyProtection="1">
      <alignment horizontal="left" shrinkToFit="1"/>
      <protection hidden="1"/>
    </xf>
    <xf numFmtId="49" fontId="137" fillId="2" borderId="48" xfId="1" applyNumberFormat="1" applyFont="1" applyFill="1" applyBorder="1" applyAlignment="1" applyProtection="1">
      <alignment horizontal="center" vertical="center" shrinkToFit="1"/>
      <protection hidden="1"/>
    </xf>
    <xf numFmtId="49" fontId="138" fillId="2" borderId="0" xfId="1" applyNumberFormat="1" applyFont="1" applyFill="1" applyBorder="1" applyAlignment="1" applyProtection="1">
      <alignment horizontal="center" vertical="center" shrinkToFit="1"/>
      <protection hidden="1"/>
    </xf>
    <xf numFmtId="49" fontId="138" fillId="2" borderId="81" xfId="1" applyNumberFormat="1" applyFont="1" applyFill="1" applyBorder="1" applyAlignment="1" applyProtection="1">
      <alignment horizontal="center" vertical="center" shrinkToFit="1"/>
      <protection hidden="1"/>
    </xf>
    <xf numFmtId="49" fontId="133" fillId="2" borderId="9" xfId="1" applyNumberFormat="1" applyFont="1" applyFill="1" applyBorder="1" applyAlignment="1" applyProtection="1">
      <alignment horizontal="center" vertical="center" shrinkToFit="1"/>
      <protection hidden="1"/>
    </xf>
    <xf numFmtId="49" fontId="133" fillId="2" borderId="7" xfId="1" applyNumberFormat="1" applyFont="1" applyFill="1" applyBorder="1" applyAlignment="1" applyProtection="1">
      <alignment horizontal="center" vertical="center" shrinkToFit="1"/>
      <protection hidden="1"/>
    </xf>
    <xf numFmtId="49" fontId="133" fillId="2" borderId="13" xfId="1" applyNumberFormat="1" applyFont="1" applyFill="1" applyBorder="1" applyAlignment="1" applyProtection="1">
      <alignment horizontal="center" vertical="center" shrinkToFit="1"/>
      <protection hidden="1"/>
    </xf>
    <xf numFmtId="49" fontId="133" fillId="2" borderId="0" xfId="1" applyNumberFormat="1" applyFont="1" applyFill="1" applyBorder="1" applyAlignment="1" applyProtection="1">
      <alignment horizontal="center" vertical="center" shrinkToFit="1"/>
      <protection hidden="1"/>
    </xf>
    <xf numFmtId="213" fontId="134" fillId="2" borderId="9" xfId="1" applyNumberFormat="1" applyFont="1" applyFill="1" applyBorder="1" applyAlignment="1" applyProtection="1">
      <alignment horizontal="right" vertical="center" shrinkToFit="1"/>
      <protection hidden="1"/>
    </xf>
    <xf numFmtId="213" fontId="134" fillId="2" borderId="13" xfId="1" applyNumberFormat="1" applyFont="1" applyFill="1" applyBorder="1" applyAlignment="1" applyProtection="1">
      <alignment horizontal="right" vertical="center" shrinkToFit="1"/>
      <protection hidden="1"/>
    </xf>
    <xf numFmtId="213" fontId="134" fillId="2" borderId="61" xfId="1" applyNumberFormat="1" applyFont="1" applyFill="1" applyBorder="1" applyAlignment="1" applyProtection="1">
      <alignment horizontal="right" vertical="center" shrinkToFit="1"/>
      <protection hidden="1"/>
    </xf>
    <xf numFmtId="185" fontId="127" fillId="2" borderId="17" xfId="1" applyNumberFormat="1" applyFont="1" applyFill="1" applyBorder="1" applyAlignment="1" applyProtection="1">
      <alignment horizontal="center" shrinkToFit="1"/>
      <protection hidden="1"/>
    </xf>
    <xf numFmtId="185" fontId="127" fillId="2" borderId="4" xfId="1" applyNumberFormat="1" applyFont="1" applyFill="1" applyBorder="1" applyAlignment="1" applyProtection="1">
      <alignment horizontal="center" shrinkToFit="1"/>
      <protection hidden="1"/>
    </xf>
    <xf numFmtId="0" fontId="43" fillId="2" borderId="6" xfId="1" applyNumberFormat="1" applyFont="1" applyFill="1" applyBorder="1" applyAlignment="1" applyProtection="1">
      <alignment horizontal="left" shrinkToFit="1"/>
      <protection hidden="1"/>
    </xf>
    <xf numFmtId="0" fontId="43" fillId="2" borderId="4" xfId="1" applyNumberFormat="1" applyFont="1" applyFill="1" applyBorder="1" applyAlignment="1" applyProtection="1">
      <alignment horizontal="left" shrinkToFit="1"/>
      <protection hidden="1"/>
    </xf>
    <xf numFmtId="49" fontId="141" fillId="2" borderId="17" xfId="1" applyNumberFormat="1" applyFont="1" applyFill="1" applyBorder="1" applyAlignment="1" applyProtection="1">
      <alignment horizontal="center" shrinkToFit="1"/>
      <protection hidden="1"/>
    </xf>
    <xf numFmtId="49" fontId="141" fillId="2" borderId="44" xfId="1" applyNumberFormat="1" applyFont="1" applyFill="1" applyBorder="1" applyAlignment="1" applyProtection="1">
      <alignment horizontal="center" shrinkToFit="1"/>
      <protection hidden="1"/>
    </xf>
    <xf numFmtId="216" fontId="142" fillId="2" borderId="6" xfId="1" applyNumberFormat="1" applyFont="1" applyFill="1" applyBorder="1" applyAlignment="1" applyProtection="1">
      <alignment horizontal="left" shrinkToFit="1"/>
      <protection hidden="1"/>
    </xf>
    <xf numFmtId="0" fontId="142" fillId="2" borderId="4" xfId="1" applyNumberFormat="1" applyFont="1" applyFill="1" applyBorder="1" applyAlignment="1" applyProtection="1">
      <alignment horizontal="left" shrinkToFit="1"/>
      <protection hidden="1"/>
    </xf>
    <xf numFmtId="49" fontId="143" fillId="2" borderId="17" xfId="1" applyNumberFormat="1" applyFont="1" applyFill="1" applyBorder="1" applyAlignment="1" applyProtection="1">
      <alignment horizontal="center" shrinkToFit="1"/>
      <protection hidden="1"/>
    </xf>
    <xf numFmtId="49" fontId="143" fillId="2" borderId="44" xfId="1" applyNumberFormat="1" applyFont="1" applyFill="1" applyBorder="1" applyAlignment="1" applyProtection="1">
      <alignment horizontal="center" shrinkToFit="1"/>
      <protection hidden="1"/>
    </xf>
    <xf numFmtId="216" fontId="144" fillId="2" borderId="6" xfId="1" applyNumberFormat="1" applyFont="1" applyFill="1" applyBorder="1" applyAlignment="1" applyProtection="1">
      <alignment horizontal="left" shrinkToFit="1"/>
      <protection hidden="1"/>
    </xf>
    <xf numFmtId="0" fontId="144" fillId="2" borderId="4" xfId="1" applyNumberFormat="1" applyFont="1" applyFill="1" applyBorder="1" applyAlignment="1" applyProtection="1">
      <alignment horizontal="left" shrinkToFit="1"/>
      <protection hidden="1"/>
    </xf>
    <xf numFmtId="49" fontId="43" fillId="13" borderId="23" xfId="1" applyNumberFormat="1" applyFont="1" applyFill="1" applyBorder="1" applyAlignment="1" applyProtection="1">
      <alignment horizontal="center" vertical="center" shrinkToFit="1"/>
      <protection hidden="1"/>
    </xf>
    <xf numFmtId="49" fontId="43" fillId="13" borderId="110" xfId="1" applyNumberFormat="1" applyFont="1" applyFill="1" applyBorder="1" applyAlignment="1" applyProtection="1">
      <alignment horizontal="center" vertical="center" shrinkToFit="1"/>
      <protection hidden="1"/>
    </xf>
    <xf numFmtId="0" fontId="43" fillId="13" borderId="80" xfId="1" applyFont="1" applyFill="1" applyBorder="1" applyAlignment="1" applyProtection="1">
      <alignment horizontal="center" vertical="center" shrinkToFit="1"/>
      <protection hidden="1"/>
    </xf>
    <xf numFmtId="0" fontId="43" fillId="13" borderId="73" xfId="1" applyFont="1" applyFill="1" applyBorder="1" applyAlignment="1" applyProtection="1">
      <alignment horizontal="center" vertical="center" shrinkToFit="1"/>
      <protection hidden="1"/>
    </xf>
    <xf numFmtId="0" fontId="43" fillId="2" borderId="6" xfId="1" applyNumberFormat="1" applyFont="1" applyFill="1" applyBorder="1" applyAlignment="1" applyProtection="1">
      <alignment horizontal="center" shrinkToFit="1"/>
      <protection hidden="1"/>
    </xf>
    <xf numFmtId="0" fontId="43" fillId="2" borderId="4" xfId="1" applyNumberFormat="1" applyFont="1" applyFill="1" applyBorder="1" applyAlignment="1" applyProtection="1">
      <alignment horizontal="center" shrinkToFit="1"/>
      <protection hidden="1"/>
    </xf>
    <xf numFmtId="49" fontId="8" fillId="2" borderId="17" xfId="1" applyNumberFormat="1" applyFont="1" applyFill="1" applyBorder="1" applyAlignment="1" applyProtection="1">
      <alignment horizontal="center" shrinkToFit="1"/>
      <protection hidden="1"/>
    </xf>
    <xf numFmtId="49" fontId="8" fillId="2" borderId="44" xfId="1" applyNumberFormat="1" applyFont="1" applyFill="1" applyBorder="1" applyAlignment="1" applyProtection="1">
      <alignment horizontal="center" shrinkToFit="1"/>
      <protection hidden="1"/>
    </xf>
    <xf numFmtId="49" fontId="13" fillId="2" borderId="6" xfId="1" applyNumberFormat="1" applyFont="1" applyFill="1" applyBorder="1" applyAlignment="1" applyProtection="1">
      <alignment horizontal="left" shrinkToFit="1"/>
      <protection hidden="1"/>
    </xf>
    <xf numFmtId="49" fontId="13" fillId="2" borderId="4" xfId="1" applyNumberFormat="1" applyFont="1" applyFill="1" applyBorder="1" applyAlignment="1" applyProtection="1">
      <alignment horizontal="left" shrinkToFit="1"/>
      <protection hidden="1"/>
    </xf>
    <xf numFmtId="49" fontId="13" fillId="2" borderId="44" xfId="1" applyNumberFormat="1" applyFont="1" applyFill="1" applyBorder="1" applyAlignment="1" applyProtection="1">
      <alignment horizontal="left" shrinkToFit="1"/>
      <protection hidden="1"/>
    </xf>
    <xf numFmtId="49" fontId="43" fillId="13" borderId="87" xfId="1" applyNumberFormat="1" applyFont="1" applyFill="1" applyBorder="1" applyAlignment="1" applyProtection="1">
      <alignment horizontal="center" vertical="center" shrinkToFit="1"/>
      <protection hidden="1"/>
    </xf>
    <xf numFmtId="49" fontId="43" fillId="13" borderId="78" xfId="1" applyNumberFormat="1" applyFont="1" applyFill="1" applyBorder="1" applyAlignment="1" applyProtection="1">
      <alignment horizontal="center" vertical="center" shrinkToFit="1"/>
      <protection hidden="1"/>
    </xf>
    <xf numFmtId="49" fontId="43" fillId="13" borderId="61" xfId="1" applyNumberFormat="1" applyFont="1" applyFill="1" applyBorder="1" applyAlignment="1" applyProtection="1">
      <alignment horizontal="center" vertical="center" shrinkToFit="1"/>
      <protection hidden="1"/>
    </xf>
    <xf numFmtId="49" fontId="43" fillId="13" borderId="26" xfId="1" applyNumberFormat="1" applyFont="1" applyFill="1" applyBorder="1" applyAlignment="1" applyProtection="1">
      <alignment horizontal="center" vertical="center" shrinkToFit="1"/>
      <protection hidden="1"/>
    </xf>
    <xf numFmtId="49" fontId="43" fillId="13" borderId="24" xfId="1" applyNumberFormat="1" applyFont="1" applyFill="1" applyBorder="1" applyAlignment="1" applyProtection="1">
      <alignment horizontal="center" vertical="center" shrinkToFit="1"/>
      <protection hidden="1"/>
    </xf>
    <xf numFmtId="49" fontId="43" fillId="13" borderId="79" xfId="1" applyNumberFormat="1" applyFont="1" applyFill="1" applyBorder="1" applyAlignment="1" applyProtection="1">
      <alignment horizontal="center" vertical="center" shrinkToFit="1"/>
      <protection hidden="1"/>
    </xf>
    <xf numFmtId="49" fontId="43" fillId="13" borderId="107" xfId="1" applyNumberFormat="1" applyFont="1" applyFill="1" applyBorder="1" applyAlignment="1" applyProtection="1">
      <alignment horizontal="center" vertical="center" shrinkToFit="1"/>
      <protection hidden="1"/>
    </xf>
    <xf numFmtId="49" fontId="43" fillId="13" borderId="90" xfId="1" applyNumberFormat="1" applyFont="1" applyFill="1" applyBorder="1" applyAlignment="1" applyProtection="1">
      <alignment horizontal="center" vertical="center" shrinkToFit="1"/>
      <protection hidden="1"/>
    </xf>
    <xf numFmtId="49" fontId="2" fillId="13" borderId="85" xfId="1" applyNumberFormat="1" applyFont="1" applyFill="1" applyBorder="1" applyAlignment="1" applyProtection="1">
      <alignment horizontal="center" vertical="center" shrinkToFit="1"/>
      <protection hidden="1"/>
    </xf>
    <xf numFmtId="49" fontId="2" fillId="13" borderId="66" xfId="1" applyNumberFormat="1" applyFont="1" applyFill="1" applyBorder="1" applyAlignment="1" applyProtection="1">
      <alignment horizontal="center" vertical="center" shrinkToFit="1"/>
      <protection hidden="1"/>
    </xf>
    <xf numFmtId="49" fontId="43" fillId="13" borderId="89" xfId="1" applyNumberFormat="1" applyFont="1" applyFill="1" applyBorder="1" applyAlignment="1" applyProtection="1">
      <alignment horizontal="center" vertical="center" shrinkToFit="1"/>
      <protection hidden="1"/>
    </xf>
    <xf numFmtId="49" fontId="43" fillId="13" borderId="86" xfId="1" applyNumberFormat="1" applyFont="1" applyFill="1" applyBorder="1" applyAlignment="1" applyProtection="1">
      <alignment horizontal="center" vertical="center" shrinkToFit="1"/>
      <protection hidden="1"/>
    </xf>
    <xf numFmtId="216" fontId="144" fillId="2" borderId="4" xfId="1" applyNumberFormat="1" applyFont="1" applyFill="1" applyBorder="1" applyAlignment="1" applyProtection="1">
      <alignment horizontal="left" shrinkToFit="1"/>
      <protection hidden="1"/>
    </xf>
    <xf numFmtId="216" fontId="144" fillId="2" borderId="44" xfId="1" applyNumberFormat="1" applyFont="1" applyFill="1" applyBorder="1" applyAlignment="1" applyProtection="1">
      <alignment horizontal="left" shrinkToFit="1"/>
      <protection hidden="1"/>
    </xf>
    <xf numFmtId="49" fontId="43" fillId="2" borderId="6" xfId="1" applyNumberFormat="1" applyFont="1" applyFill="1" applyBorder="1" applyAlignment="1" applyProtection="1">
      <alignment horizontal="center" shrinkToFit="1"/>
      <protection hidden="1"/>
    </xf>
    <xf numFmtId="49" fontId="43" fillId="2" borderId="4" xfId="1" applyNumberFormat="1" applyFont="1" applyFill="1" applyBorder="1" applyAlignment="1" applyProtection="1">
      <alignment horizontal="center" shrinkToFit="1"/>
      <protection hidden="1"/>
    </xf>
    <xf numFmtId="216" fontId="13" fillId="2" borderId="6" xfId="1" applyNumberFormat="1" applyFont="1" applyFill="1" applyBorder="1" applyAlignment="1" applyProtection="1">
      <alignment horizontal="left" shrinkToFit="1"/>
      <protection hidden="1"/>
    </xf>
    <xf numFmtId="0" fontId="13" fillId="2" borderId="4" xfId="1" applyNumberFormat="1" applyFont="1" applyFill="1" applyBorder="1" applyAlignment="1" applyProtection="1">
      <alignment horizontal="left" shrinkToFit="1"/>
      <protection hidden="1"/>
    </xf>
    <xf numFmtId="49" fontId="43" fillId="2" borderId="6" xfId="1" applyNumberFormat="1" applyFont="1" applyFill="1" applyBorder="1" applyAlignment="1" applyProtection="1">
      <alignment horizontal="left" shrinkToFit="1"/>
      <protection hidden="1"/>
    </xf>
    <xf numFmtId="49" fontId="43" fillId="2" borderId="4" xfId="1" applyNumberFormat="1" applyFont="1" applyFill="1" applyBorder="1" applyAlignment="1" applyProtection="1">
      <alignment horizontal="left" shrinkToFit="1"/>
      <protection hidden="1"/>
    </xf>
    <xf numFmtId="49" fontId="43" fillId="2" borderId="17" xfId="1" applyNumberFormat="1" applyFont="1" applyFill="1" applyBorder="1" applyAlignment="1" applyProtection="1">
      <alignment horizontal="center" shrinkToFit="1"/>
      <protection hidden="1"/>
    </xf>
    <xf numFmtId="49" fontId="43" fillId="2" borderId="44" xfId="1" applyNumberFormat="1" applyFont="1" applyFill="1" applyBorder="1" applyAlignment="1" applyProtection="1">
      <alignment horizontal="center" shrinkToFit="1"/>
      <protection hidden="1"/>
    </xf>
    <xf numFmtId="49" fontId="43" fillId="2" borderId="114" xfId="1" applyNumberFormat="1" applyFont="1" applyFill="1" applyBorder="1" applyAlignment="1" applyProtection="1">
      <alignment horizontal="center" shrinkToFit="1"/>
      <protection hidden="1"/>
    </xf>
    <xf numFmtId="49" fontId="43" fillId="2" borderId="115" xfId="1" applyNumberFormat="1" applyFont="1" applyFill="1" applyBorder="1" applyAlignment="1" applyProtection="1">
      <alignment horizontal="center" shrinkToFit="1"/>
      <protection hidden="1"/>
    </xf>
    <xf numFmtId="49" fontId="8" fillId="2" borderId="116" xfId="1" applyNumberFormat="1" applyFont="1" applyFill="1" applyBorder="1" applyAlignment="1" applyProtection="1">
      <alignment horizontal="center" shrinkToFit="1"/>
      <protection hidden="1"/>
    </xf>
    <xf numFmtId="49" fontId="8" fillId="2" borderId="117" xfId="1" applyNumberFormat="1" applyFont="1" applyFill="1" applyBorder="1" applyAlignment="1" applyProtection="1">
      <alignment horizontal="center" shrinkToFit="1"/>
      <protection hidden="1"/>
    </xf>
    <xf numFmtId="49" fontId="13" fillId="2" borderId="114" xfId="1" applyNumberFormat="1" applyFont="1" applyFill="1" applyBorder="1" applyAlignment="1" applyProtection="1">
      <alignment horizontal="left" shrinkToFit="1"/>
      <protection hidden="1"/>
    </xf>
    <xf numFmtId="49" fontId="13" fillId="2" borderId="115" xfId="1" applyNumberFormat="1" applyFont="1" applyFill="1" applyBorder="1" applyAlignment="1" applyProtection="1">
      <alignment horizontal="left" shrinkToFit="1"/>
      <protection hidden="1"/>
    </xf>
    <xf numFmtId="49" fontId="13" fillId="2" borderId="117" xfId="1" applyNumberFormat="1" applyFont="1" applyFill="1" applyBorder="1" applyAlignment="1" applyProtection="1">
      <alignment horizontal="left" shrinkToFit="1"/>
      <protection hidden="1"/>
    </xf>
    <xf numFmtId="49" fontId="7" fillId="14" borderId="23" xfId="1" applyNumberFormat="1" applyFont="1" applyFill="1" applyBorder="1" applyAlignment="1">
      <alignment horizontal="center" vertical="center" shrinkToFit="1"/>
    </xf>
    <xf numFmtId="49" fontId="7" fillId="14" borderId="110" xfId="1" applyNumberFormat="1" applyFont="1" applyFill="1" applyBorder="1" applyAlignment="1">
      <alignment horizontal="center" vertical="center" shrinkToFit="1"/>
    </xf>
    <xf numFmtId="49" fontId="43" fillId="2" borderId="23" xfId="1" applyNumberFormat="1" applyFont="1" applyFill="1" applyBorder="1" applyAlignment="1">
      <alignment horizontal="center" vertical="center" shrinkToFit="1"/>
    </xf>
    <xf numFmtId="49" fontId="43" fillId="2" borderId="110" xfId="1" applyNumberFormat="1" applyFont="1" applyFill="1" applyBorder="1" applyAlignment="1">
      <alignment horizontal="center" vertical="center" shrinkToFit="1"/>
    </xf>
    <xf numFmtId="49" fontId="7" fillId="13" borderId="15" xfId="1" applyNumberFormat="1" applyFont="1" applyFill="1" applyBorder="1" applyAlignment="1">
      <alignment horizontal="center" vertical="center" shrinkToFit="1"/>
    </xf>
    <xf numFmtId="49" fontId="7" fillId="13" borderId="16" xfId="1" applyNumberFormat="1" applyFont="1" applyFill="1" applyBorder="1" applyAlignment="1">
      <alignment horizontal="center" vertical="center" shrinkToFit="1"/>
    </xf>
    <xf numFmtId="0" fontId="7" fillId="14" borderId="0" xfId="1" applyFont="1" applyFill="1" applyAlignment="1" applyProtection="1">
      <alignment horizontal="center" vertical="center" shrinkToFit="1"/>
      <protection hidden="1"/>
    </xf>
    <xf numFmtId="49" fontId="54" fillId="8" borderId="15" xfId="1" applyNumberFormat="1" applyFill="1" applyBorder="1" applyAlignment="1">
      <alignment horizontal="center" vertical="center" shrinkToFit="1"/>
    </xf>
    <xf numFmtId="49" fontId="54" fillId="8" borderId="16" xfId="1" applyNumberFormat="1" applyFill="1" applyBorder="1" applyAlignment="1">
      <alignment horizontal="center" vertical="center" shrinkToFit="1"/>
    </xf>
    <xf numFmtId="49" fontId="47" fillId="13" borderId="15" xfId="1" applyNumberFormat="1" applyFont="1" applyFill="1" applyBorder="1" applyAlignment="1">
      <alignment horizontal="left" vertical="center" shrinkToFit="1"/>
    </xf>
    <xf numFmtId="49" fontId="47" fillId="13" borderId="21" xfId="1" applyNumberFormat="1" applyFont="1" applyFill="1" applyBorder="1" applyAlignment="1">
      <alignment horizontal="left" vertical="center" shrinkToFit="1"/>
    </xf>
    <xf numFmtId="0" fontId="149" fillId="0" borderId="21" xfId="1" applyFont="1" applyBorder="1" applyAlignment="1">
      <alignment horizontal="left" vertical="center" shrinkToFit="1"/>
    </xf>
    <xf numFmtId="0" fontId="149" fillId="0" borderId="16" xfId="1" applyFont="1" applyBorder="1" applyAlignment="1">
      <alignment horizontal="left" vertical="center" shrinkToFit="1"/>
    </xf>
    <xf numFmtId="0" fontId="150" fillId="11" borderId="0" xfId="1" applyFont="1" applyFill="1" applyAlignment="1" applyProtection="1">
      <alignment horizontal="center" vertical="center" shrinkToFit="1"/>
      <protection hidden="1"/>
    </xf>
  </cellXfs>
  <cellStyles count="4">
    <cellStyle name="ハイパーリンク" xfId="3" builtinId="8"/>
    <cellStyle name="標準" xfId="0" builtinId="0"/>
    <cellStyle name="標準 2" xfId="1"/>
    <cellStyle name="標準_(UL)ESE-HP計算実務例VD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48357</xdr:colOff>
      <xdr:row>1</xdr:row>
      <xdr:rowOff>0</xdr:rowOff>
    </xdr:from>
    <xdr:to>
      <xdr:col>11</xdr:col>
      <xdr:colOff>200757</xdr:colOff>
      <xdr:row>4</xdr:row>
      <xdr:rowOff>41031</xdr:rowOff>
    </xdr:to>
    <xdr:grpSp>
      <xdr:nvGrpSpPr>
        <xdr:cNvPr id="2" name="Group 1"/>
        <xdr:cNvGrpSpPr>
          <a:grpSpLocks/>
        </xdr:cNvGrpSpPr>
      </xdr:nvGrpSpPr>
      <xdr:grpSpPr bwMode="auto">
        <a:xfrm>
          <a:off x="209549" y="168519"/>
          <a:ext cx="2123343" cy="546589"/>
          <a:chOff x="19" y="18"/>
          <a:chExt cx="223" cy="57"/>
        </a:xfrm>
      </xdr:grpSpPr>
      <xdr:sp macro="" textlink="">
        <xdr:nvSpPr>
          <xdr:cNvPr id="3" name="Rectangle 2"/>
          <xdr:cNvSpPr>
            <a:spLocks noChangeArrowheads="1"/>
          </xdr:cNvSpPr>
        </xdr:nvSpPr>
        <xdr:spPr bwMode="auto">
          <a:xfrm>
            <a:off x="63" y="31"/>
            <a:ext cx="61"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2100" b="0" i="0" u="none" strike="noStrike" baseline="0">
                <a:solidFill>
                  <a:srgbClr val="000000"/>
                </a:solidFill>
                <a:latin typeface="Arial Black"/>
              </a:rPr>
              <a:t>ESE</a:t>
            </a:r>
          </a:p>
        </xdr:txBody>
      </xdr:sp>
      <xdr:sp macro="" textlink="">
        <xdr:nvSpPr>
          <xdr:cNvPr id="4" name="Rectangle 3"/>
          <xdr:cNvSpPr>
            <a:spLocks noChangeArrowheads="1"/>
          </xdr:cNvSpPr>
        </xdr:nvSpPr>
        <xdr:spPr bwMode="auto">
          <a:xfrm>
            <a:off x="140" y="46"/>
            <a:ext cx="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altLang="ja-JP" sz="1300" b="1" i="0" u="none" strike="noStrike" baseline="0">
                <a:solidFill>
                  <a:srgbClr val="000000"/>
                </a:solidFill>
                <a:latin typeface="Arial"/>
                <a:cs typeface="Arial"/>
              </a:rPr>
              <a:t>SERVICE</a:t>
            </a:r>
          </a:p>
        </xdr:txBody>
      </xdr:sp>
      <xdr:pic>
        <xdr:nvPicPr>
          <xdr:cNvPr id="5" name="Picture 4"/>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9" y="29"/>
            <a:ext cx="42"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Text Box 5"/>
          <xdr:cNvSpPr txBox="1">
            <a:spLocks noChangeArrowheads="1"/>
          </xdr:cNvSpPr>
        </xdr:nvSpPr>
        <xdr:spPr bwMode="auto">
          <a:xfrm>
            <a:off x="66" y="18"/>
            <a:ext cx="17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200"/>
              </a:lnSpc>
              <a:defRPr sz="1000"/>
            </a:pPr>
            <a:r>
              <a:rPr lang="en-US" altLang="ja-JP" sz="1000" b="0" i="1" u="none" strike="noStrike" baseline="0">
                <a:solidFill>
                  <a:srgbClr val="000000"/>
                </a:solidFill>
                <a:latin typeface="Arial Narrow"/>
              </a:rPr>
              <a:t>Electro Systems Engineering</a:t>
            </a:r>
            <a:endParaRPr lang="en-US" altLang="ja-JP" sz="1100" b="0" i="1" u="none" strike="noStrike" baseline="0">
              <a:solidFill>
                <a:srgbClr val="000000"/>
              </a:solidFill>
              <a:latin typeface="ＭＳ Ｐゴシック"/>
              <a:ea typeface="ＭＳ Ｐゴシック"/>
            </a:endParaRPr>
          </a:p>
          <a:p>
            <a:pPr algn="l" rtl="0">
              <a:lnSpc>
                <a:spcPts val="1300"/>
              </a:lnSpc>
              <a:defRPr sz="1000"/>
            </a:pPr>
            <a:endParaRPr lang="en-US" altLang="ja-JP" sz="1100" b="0" i="1" u="none" strike="noStrike" baseline="0">
              <a:solidFill>
                <a:srgbClr val="000000"/>
              </a:solidFill>
              <a:latin typeface="ＭＳ Ｐゴシック"/>
              <a:ea typeface="ＭＳ Ｐゴシック"/>
            </a:endParaRPr>
          </a:p>
          <a:p>
            <a:pPr algn="l" rtl="0">
              <a:lnSpc>
                <a:spcPts val="1300"/>
              </a:lnSpc>
              <a:defRPr sz="1000"/>
            </a:pPr>
            <a:endParaRPr lang="en-US" altLang="ja-JP" sz="1100" b="0" i="1" u="none" strike="noStrike" baseline="0">
              <a:solidFill>
                <a:srgbClr val="000000"/>
              </a:solidFill>
              <a:latin typeface="ＭＳ Ｐゴシック"/>
              <a:ea typeface="ＭＳ Ｐゴシック"/>
            </a:endParaRPr>
          </a:p>
        </xdr:txBody>
      </xdr:sp>
      <xdr:sp macro="" textlink="">
        <xdr:nvSpPr>
          <xdr:cNvPr id="7" name="Line 6"/>
          <xdr:cNvSpPr>
            <a:spLocks noChangeShapeType="1"/>
          </xdr:cNvSpPr>
        </xdr:nvSpPr>
        <xdr:spPr bwMode="auto">
          <a:xfrm>
            <a:off x="67" y="39"/>
            <a:ext cx="158"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0</xdr:colOff>
      <xdr:row>4</xdr:row>
      <xdr:rowOff>0</xdr:rowOff>
    </xdr:from>
    <xdr:to>
      <xdr:col>37</xdr:col>
      <xdr:colOff>9525</xdr:colOff>
      <xdr:row>4</xdr:row>
      <xdr:rowOff>0</xdr:rowOff>
    </xdr:to>
    <xdr:sp macro="" textlink="">
      <xdr:nvSpPr>
        <xdr:cNvPr id="8" name="Line 7"/>
        <xdr:cNvSpPr>
          <a:spLocks noChangeShapeType="1"/>
        </xdr:cNvSpPr>
      </xdr:nvSpPr>
      <xdr:spPr bwMode="auto">
        <a:xfrm>
          <a:off x="161925" y="695325"/>
          <a:ext cx="7124700"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xdr:row>
      <xdr:rowOff>0</xdr:rowOff>
    </xdr:from>
    <xdr:to>
      <xdr:col>37</xdr:col>
      <xdr:colOff>9525</xdr:colOff>
      <xdr:row>49</xdr:row>
      <xdr:rowOff>0</xdr:rowOff>
    </xdr:to>
    <xdr:sp macro="" textlink="">
      <xdr:nvSpPr>
        <xdr:cNvPr id="9" name="Line 8"/>
        <xdr:cNvSpPr>
          <a:spLocks noChangeShapeType="1"/>
        </xdr:cNvSpPr>
      </xdr:nvSpPr>
      <xdr:spPr bwMode="auto">
        <a:xfrm>
          <a:off x="161925" y="11125200"/>
          <a:ext cx="71247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57150</xdr:colOff>
      <xdr:row>0</xdr:row>
      <xdr:rowOff>161925</xdr:rowOff>
    </xdr:from>
    <xdr:to>
      <xdr:col>34</xdr:col>
      <xdr:colOff>885825</xdr:colOff>
      <xdr:row>0</xdr:row>
      <xdr:rowOff>161925</xdr:rowOff>
    </xdr:to>
    <xdr:sp macro="" textlink="">
      <xdr:nvSpPr>
        <xdr:cNvPr id="10" name="Line 9"/>
        <xdr:cNvSpPr>
          <a:spLocks noChangeShapeType="1"/>
        </xdr:cNvSpPr>
      </xdr:nvSpPr>
      <xdr:spPr bwMode="auto">
        <a:xfrm>
          <a:off x="6191250" y="161925"/>
          <a:ext cx="514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197827</xdr:colOff>
      <xdr:row>0</xdr:row>
      <xdr:rowOff>161925</xdr:rowOff>
    </xdr:from>
    <xdr:to>
      <xdr:col>36</xdr:col>
      <xdr:colOff>209550</xdr:colOff>
      <xdr:row>0</xdr:row>
      <xdr:rowOff>161925</xdr:rowOff>
    </xdr:to>
    <xdr:sp macro="" textlink="">
      <xdr:nvSpPr>
        <xdr:cNvPr id="11" name="Line 10"/>
        <xdr:cNvSpPr>
          <a:spLocks noChangeShapeType="1"/>
        </xdr:cNvSpPr>
      </xdr:nvSpPr>
      <xdr:spPr bwMode="auto">
        <a:xfrm>
          <a:off x="5509846" y="161925"/>
          <a:ext cx="1689589"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79131</xdr:colOff>
      <xdr:row>6</xdr:row>
      <xdr:rowOff>0</xdr:rowOff>
    </xdr:from>
    <xdr:to>
      <xdr:col>8</xdr:col>
      <xdr:colOff>161193</xdr:colOff>
      <xdr:row>7</xdr:row>
      <xdr:rowOff>225669</xdr:rowOff>
    </xdr:to>
    <xdr:sp macro="" textlink="">
      <xdr:nvSpPr>
        <xdr:cNvPr id="13" name="円/楕円 12"/>
        <xdr:cNvSpPr/>
      </xdr:nvSpPr>
      <xdr:spPr>
        <a:xfrm>
          <a:off x="1354016" y="1128346"/>
          <a:ext cx="463062" cy="452804"/>
        </a:xfrm>
        <a:prstGeom prst="ellipse">
          <a:avLst/>
        </a:prstGeom>
        <a:noFill/>
        <a:ln w="158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256442</xdr:colOff>
      <xdr:row>7</xdr:row>
      <xdr:rowOff>7327</xdr:rowOff>
    </xdr:from>
    <xdr:to>
      <xdr:col>5</xdr:col>
      <xdr:colOff>51288</xdr:colOff>
      <xdr:row>7</xdr:row>
      <xdr:rowOff>139211</xdr:rowOff>
    </xdr:to>
    <xdr:cxnSp macro="">
      <xdr:nvCxnSpPr>
        <xdr:cNvPr id="21" name="直線コネクタ 20"/>
        <xdr:cNvCxnSpPr/>
      </xdr:nvCxnSpPr>
      <xdr:spPr>
        <a:xfrm>
          <a:off x="1245577" y="1362808"/>
          <a:ext cx="80596" cy="131884"/>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51288</xdr:colOff>
      <xdr:row>6</xdr:row>
      <xdr:rowOff>0</xdr:rowOff>
    </xdr:from>
    <xdr:to>
      <xdr:col>5</xdr:col>
      <xdr:colOff>274041</xdr:colOff>
      <xdr:row>8</xdr:row>
      <xdr:rowOff>0</xdr:rowOff>
    </xdr:to>
    <xdr:sp macro="" textlink="">
      <xdr:nvSpPr>
        <xdr:cNvPr id="12" name="円/楕円 11"/>
        <xdr:cNvSpPr/>
      </xdr:nvSpPr>
      <xdr:spPr>
        <a:xfrm>
          <a:off x="1040423" y="1128346"/>
          <a:ext cx="508503" cy="454269"/>
        </a:xfrm>
        <a:prstGeom prst="ellipse">
          <a:avLst/>
        </a:prstGeom>
        <a:noFill/>
        <a:ln w="158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100499</xdr:colOff>
      <xdr:row>6</xdr:row>
      <xdr:rowOff>65942</xdr:rowOff>
    </xdr:from>
    <xdr:to>
      <xdr:col>5</xdr:col>
      <xdr:colOff>60798</xdr:colOff>
      <xdr:row>7</xdr:row>
      <xdr:rowOff>0</xdr:rowOff>
    </xdr:to>
    <xdr:grpSp>
      <xdr:nvGrpSpPr>
        <xdr:cNvPr id="34" name="グループ化 33"/>
        <xdr:cNvGrpSpPr/>
      </xdr:nvGrpSpPr>
      <xdr:grpSpPr>
        <a:xfrm>
          <a:off x="1089634" y="1245577"/>
          <a:ext cx="246049" cy="161192"/>
          <a:chOff x="1084385" y="1194288"/>
          <a:chExt cx="219807" cy="161193"/>
        </a:xfrm>
      </xdr:grpSpPr>
      <xdr:cxnSp macro="">
        <xdr:nvCxnSpPr>
          <xdr:cNvPr id="15" name="直線コネクタ 14"/>
          <xdr:cNvCxnSpPr/>
        </xdr:nvCxnSpPr>
        <xdr:spPr>
          <a:xfrm flipH="1">
            <a:off x="1084385" y="1355481"/>
            <a:ext cx="146541"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19" name="直線コネクタ 18"/>
          <xdr:cNvCxnSpPr/>
        </xdr:nvCxnSpPr>
        <xdr:spPr>
          <a:xfrm flipV="1">
            <a:off x="1238250" y="1194288"/>
            <a:ext cx="65942" cy="153866"/>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29307</xdr:colOff>
      <xdr:row>6</xdr:row>
      <xdr:rowOff>131889</xdr:rowOff>
    </xdr:from>
    <xdr:to>
      <xdr:col>8</xdr:col>
      <xdr:colOff>95250</xdr:colOff>
      <xdr:row>7</xdr:row>
      <xdr:rowOff>95254</xdr:rowOff>
    </xdr:to>
    <xdr:sp macro="" textlink="">
      <xdr:nvSpPr>
        <xdr:cNvPr id="28" name="二等辺三角形 27"/>
        <xdr:cNvSpPr/>
      </xdr:nvSpPr>
      <xdr:spPr>
        <a:xfrm rot="5400000">
          <a:off x="1575289" y="1326177"/>
          <a:ext cx="190499" cy="161193"/>
        </a:xfrm>
        <a:prstGeom prst="triangle">
          <a:avLst>
            <a:gd name="adj" fmla="val 46552"/>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285748</xdr:colOff>
      <xdr:row>6</xdr:row>
      <xdr:rowOff>168522</xdr:rowOff>
    </xdr:from>
    <xdr:to>
      <xdr:col>18</xdr:col>
      <xdr:colOff>146539</xdr:colOff>
      <xdr:row>7</xdr:row>
      <xdr:rowOff>51288</xdr:rowOff>
    </xdr:to>
    <xdr:grpSp>
      <xdr:nvGrpSpPr>
        <xdr:cNvPr id="39" name="グループ化 38"/>
        <xdr:cNvGrpSpPr/>
      </xdr:nvGrpSpPr>
      <xdr:grpSpPr>
        <a:xfrm>
          <a:off x="1846383" y="1348157"/>
          <a:ext cx="1575291" cy="109900"/>
          <a:chOff x="1846383" y="1296868"/>
          <a:chExt cx="1575291" cy="109901"/>
        </a:xfrm>
      </xdr:grpSpPr>
      <xdr:sp macro="" textlink="">
        <xdr:nvSpPr>
          <xdr:cNvPr id="35" name="二等辺三角形 34"/>
          <xdr:cNvSpPr/>
        </xdr:nvSpPr>
        <xdr:spPr>
          <a:xfrm rot="5400000">
            <a:off x="1835393" y="1315183"/>
            <a:ext cx="95250" cy="73270"/>
          </a:xfrm>
          <a:prstGeom prst="triangle">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7" name="直線コネクタ 36"/>
          <xdr:cNvCxnSpPr>
            <a:stCxn id="35" idx="0"/>
          </xdr:cNvCxnSpPr>
        </xdr:nvCxnSpPr>
        <xdr:spPr>
          <a:xfrm flipV="1">
            <a:off x="1919653" y="1348154"/>
            <a:ext cx="1414097" cy="3664"/>
          </a:xfrm>
          <a:prstGeom prst="line">
            <a:avLst/>
          </a:prstGeom>
          <a:ln w="25400">
            <a:solidFill>
              <a:schemeClr val="accent2"/>
            </a:solidFill>
            <a:prstDash val="lgDashDot"/>
          </a:ln>
        </xdr:spPr>
        <xdr:style>
          <a:lnRef idx="1">
            <a:schemeClr val="accent1"/>
          </a:lnRef>
          <a:fillRef idx="0">
            <a:schemeClr val="accent1"/>
          </a:fillRef>
          <a:effectRef idx="0">
            <a:schemeClr val="accent1"/>
          </a:effectRef>
          <a:fontRef idx="minor">
            <a:schemeClr val="tx1"/>
          </a:fontRef>
        </xdr:style>
      </xdr:cxnSp>
      <xdr:sp macro="" textlink="">
        <xdr:nvSpPr>
          <xdr:cNvPr id="38" name="二等辺三角形 37"/>
          <xdr:cNvSpPr/>
        </xdr:nvSpPr>
        <xdr:spPr>
          <a:xfrm rot="16200000" flipH="1">
            <a:off x="3326427" y="1311522"/>
            <a:ext cx="109901" cy="80593"/>
          </a:xfrm>
          <a:prstGeom prst="triangle">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212481</xdr:colOff>
      <xdr:row>6</xdr:row>
      <xdr:rowOff>175844</xdr:rowOff>
    </xdr:from>
    <xdr:to>
      <xdr:col>19</xdr:col>
      <xdr:colOff>1</xdr:colOff>
      <xdr:row>7</xdr:row>
      <xdr:rowOff>43959</xdr:rowOff>
    </xdr:to>
    <xdr:sp macro="" textlink="">
      <xdr:nvSpPr>
        <xdr:cNvPr id="41" name="二等辺三角形 40"/>
        <xdr:cNvSpPr/>
      </xdr:nvSpPr>
      <xdr:spPr>
        <a:xfrm rot="5400000">
          <a:off x="3476626" y="1315180"/>
          <a:ext cx="95250" cy="73270"/>
        </a:xfrm>
        <a:prstGeom prst="triangle">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xdr:colOff>
      <xdr:row>6</xdr:row>
      <xdr:rowOff>223469</xdr:rowOff>
    </xdr:from>
    <xdr:to>
      <xdr:col>26</xdr:col>
      <xdr:colOff>278423</xdr:colOff>
      <xdr:row>6</xdr:row>
      <xdr:rowOff>223469</xdr:rowOff>
    </xdr:to>
    <xdr:cxnSp macro="">
      <xdr:nvCxnSpPr>
        <xdr:cNvPr id="42" name="直線コネクタ 41"/>
        <xdr:cNvCxnSpPr>
          <a:stCxn id="41" idx="0"/>
        </xdr:cNvCxnSpPr>
      </xdr:nvCxnSpPr>
      <xdr:spPr>
        <a:xfrm>
          <a:off x="3560886" y="1351815"/>
          <a:ext cx="1707172" cy="0"/>
        </a:xfrm>
        <a:prstGeom prst="line">
          <a:avLst/>
        </a:prstGeom>
        <a:ln w="25400">
          <a:solidFill>
            <a:schemeClr val="accent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14660</xdr:colOff>
      <xdr:row>6</xdr:row>
      <xdr:rowOff>168519</xdr:rowOff>
    </xdr:from>
    <xdr:to>
      <xdr:col>28</xdr:col>
      <xdr:colOff>95253</xdr:colOff>
      <xdr:row>7</xdr:row>
      <xdr:rowOff>51285</xdr:rowOff>
    </xdr:to>
    <xdr:sp macro="" textlink="">
      <xdr:nvSpPr>
        <xdr:cNvPr id="43" name="二等辺三角形 42"/>
        <xdr:cNvSpPr/>
      </xdr:nvSpPr>
      <xdr:spPr>
        <a:xfrm rot="16200000" flipH="1">
          <a:off x="5275391" y="1311519"/>
          <a:ext cx="109901" cy="80593"/>
        </a:xfrm>
        <a:prstGeom prst="triangle">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190500</xdr:colOff>
      <xdr:row>9</xdr:row>
      <xdr:rowOff>0</xdr:rowOff>
    </xdr:from>
    <xdr:to>
      <xdr:col>26</xdr:col>
      <xdr:colOff>278423</xdr:colOff>
      <xdr:row>9</xdr:row>
      <xdr:rowOff>0</xdr:rowOff>
    </xdr:to>
    <xdr:cxnSp macro="">
      <xdr:nvCxnSpPr>
        <xdr:cNvPr id="45" name="直線コネクタ 44"/>
        <xdr:cNvCxnSpPr/>
      </xdr:nvCxnSpPr>
      <xdr:spPr>
        <a:xfrm>
          <a:off x="3465635" y="1809750"/>
          <a:ext cx="1802423" cy="0"/>
        </a:xfrm>
        <a:prstGeom prst="line">
          <a:avLst/>
        </a:prstGeom>
        <a:ln w="25400">
          <a:solidFill>
            <a:schemeClr val="accent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13194</xdr:colOff>
      <xdr:row>8</xdr:row>
      <xdr:rowOff>167054</xdr:rowOff>
    </xdr:from>
    <xdr:to>
      <xdr:col>28</xdr:col>
      <xdr:colOff>93787</xdr:colOff>
      <xdr:row>9</xdr:row>
      <xdr:rowOff>49820</xdr:rowOff>
    </xdr:to>
    <xdr:sp macro="" textlink="">
      <xdr:nvSpPr>
        <xdr:cNvPr id="46" name="二等辺三角形 45"/>
        <xdr:cNvSpPr/>
      </xdr:nvSpPr>
      <xdr:spPr>
        <a:xfrm rot="16200000" flipH="1">
          <a:off x="5273925" y="1764323"/>
          <a:ext cx="109901" cy="80593"/>
        </a:xfrm>
        <a:prstGeom prst="triangle">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182544</xdr:colOff>
      <xdr:row>7</xdr:row>
      <xdr:rowOff>180801</xdr:rowOff>
    </xdr:from>
    <xdr:to>
      <xdr:col>18</xdr:col>
      <xdr:colOff>183173</xdr:colOff>
      <xdr:row>8</xdr:row>
      <xdr:rowOff>219808</xdr:rowOff>
    </xdr:to>
    <xdr:cxnSp macro="">
      <xdr:nvCxnSpPr>
        <xdr:cNvPr id="58" name="直線コネクタ 57"/>
        <xdr:cNvCxnSpPr>
          <a:stCxn id="66" idx="0"/>
        </xdr:cNvCxnSpPr>
      </xdr:nvCxnSpPr>
      <xdr:spPr>
        <a:xfrm>
          <a:off x="3457679" y="1536282"/>
          <a:ext cx="629" cy="266141"/>
        </a:xfrm>
        <a:prstGeom prst="line">
          <a:avLst/>
        </a:prstGeom>
        <a:ln w="25400">
          <a:solidFill>
            <a:schemeClr val="accent2"/>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132585</xdr:colOff>
      <xdr:row>7</xdr:row>
      <xdr:rowOff>92677</xdr:rowOff>
    </xdr:from>
    <xdr:to>
      <xdr:col>18</xdr:col>
      <xdr:colOff>236528</xdr:colOff>
      <xdr:row>7</xdr:row>
      <xdr:rowOff>180847</xdr:rowOff>
    </xdr:to>
    <xdr:sp macro="" textlink="">
      <xdr:nvSpPr>
        <xdr:cNvPr id="66" name="二等辺三角形 65"/>
        <xdr:cNvSpPr/>
      </xdr:nvSpPr>
      <xdr:spPr>
        <a:xfrm rot="10956985">
          <a:off x="3407720" y="1448158"/>
          <a:ext cx="103943" cy="88170"/>
        </a:xfrm>
        <a:prstGeom prst="triangle">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xdr:colOff>
      <xdr:row>6</xdr:row>
      <xdr:rowOff>117231</xdr:rowOff>
    </xdr:from>
    <xdr:to>
      <xdr:col>19</xdr:col>
      <xdr:colOff>73269</xdr:colOff>
      <xdr:row>7</xdr:row>
      <xdr:rowOff>219806</xdr:rowOff>
    </xdr:to>
    <xdr:sp macro="" textlink="">
      <xdr:nvSpPr>
        <xdr:cNvPr id="68" name="正方形/長方形 67"/>
        <xdr:cNvSpPr/>
      </xdr:nvSpPr>
      <xdr:spPr>
        <a:xfrm>
          <a:off x="3275136" y="1245577"/>
          <a:ext cx="359018" cy="3297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Z</a:t>
          </a:r>
          <a:endParaRPr kumimoji="1" lang="ja-JP" altLang="en-US" sz="1100"/>
        </a:p>
      </xdr:txBody>
    </xdr:sp>
    <xdr:clientData/>
  </xdr:twoCellAnchor>
  <xdr:twoCellAnchor>
    <xdr:from>
      <xdr:col>18</xdr:col>
      <xdr:colOff>0</xdr:colOff>
      <xdr:row>6</xdr:row>
      <xdr:rowOff>117231</xdr:rowOff>
    </xdr:from>
    <xdr:to>
      <xdr:col>19</xdr:col>
      <xdr:colOff>87923</xdr:colOff>
      <xdr:row>8</xdr:row>
      <xdr:rowOff>0</xdr:rowOff>
    </xdr:to>
    <xdr:grpSp>
      <xdr:nvGrpSpPr>
        <xdr:cNvPr id="89" name="グループ化 88"/>
        <xdr:cNvGrpSpPr/>
      </xdr:nvGrpSpPr>
      <xdr:grpSpPr>
        <a:xfrm>
          <a:off x="3275135" y="1296866"/>
          <a:ext cx="373673" cy="337038"/>
          <a:chOff x="3275135" y="1245577"/>
          <a:chExt cx="373673" cy="337038"/>
        </a:xfrm>
      </xdr:grpSpPr>
      <xdr:cxnSp macro="">
        <xdr:nvCxnSpPr>
          <xdr:cNvPr id="70" name="直線コネクタ 69"/>
          <xdr:cNvCxnSpPr/>
        </xdr:nvCxnSpPr>
        <xdr:spPr>
          <a:xfrm>
            <a:off x="3275135" y="1252904"/>
            <a:ext cx="359019" cy="3297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flipV="1">
            <a:off x="3282462" y="1245577"/>
            <a:ext cx="366346" cy="3297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146539</xdr:colOff>
      <xdr:row>6</xdr:row>
      <xdr:rowOff>153866</xdr:rowOff>
    </xdr:from>
    <xdr:to>
      <xdr:col>29</xdr:col>
      <xdr:colOff>219807</xdr:colOff>
      <xdr:row>7</xdr:row>
      <xdr:rowOff>73270</xdr:rowOff>
    </xdr:to>
    <xdr:sp macro="" textlink="">
      <xdr:nvSpPr>
        <xdr:cNvPr id="90" name="正方形/長方形 89"/>
        <xdr:cNvSpPr/>
      </xdr:nvSpPr>
      <xdr:spPr>
        <a:xfrm>
          <a:off x="5421924" y="1282212"/>
          <a:ext cx="359018" cy="14653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137747</xdr:colOff>
      <xdr:row>6</xdr:row>
      <xdr:rowOff>152400</xdr:rowOff>
    </xdr:from>
    <xdr:to>
      <xdr:col>29</xdr:col>
      <xdr:colOff>225670</xdr:colOff>
      <xdr:row>7</xdr:row>
      <xdr:rowOff>80596</xdr:rowOff>
    </xdr:to>
    <xdr:grpSp>
      <xdr:nvGrpSpPr>
        <xdr:cNvPr id="91" name="グループ化 90"/>
        <xdr:cNvGrpSpPr/>
      </xdr:nvGrpSpPr>
      <xdr:grpSpPr>
        <a:xfrm>
          <a:off x="5449766" y="1332035"/>
          <a:ext cx="337039" cy="155330"/>
          <a:chOff x="3275135" y="1245577"/>
          <a:chExt cx="373673" cy="337038"/>
        </a:xfrm>
      </xdr:grpSpPr>
      <xdr:cxnSp macro="">
        <xdr:nvCxnSpPr>
          <xdr:cNvPr id="92" name="直線コネクタ 91"/>
          <xdr:cNvCxnSpPr/>
        </xdr:nvCxnSpPr>
        <xdr:spPr>
          <a:xfrm>
            <a:off x="3275135" y="1252904"/>
            <a:ext cx="359019" cy="3297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3" name="直線コネクタ 92"/>
          <xdr:cNvCxnSpPr/>
        </xdr:nvCxnSpPr>
        <xdr:spPr>
          <a:xfrm flipV="1">
            <a:off x="3282462" y="1245577"/>
            <a:ext cx="366346" cy="3297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145072</xdr:colOff>
      <xdr:row>8</xdr:row>
      <xdr:rowOff>152401</xdr:rowOff>
    </xdr:from>
    <xdr:to>
      <xdr:col>29</xdr:col>
      <xdr:colOff>218340</xdr:colOff>
      <xdr:row>9</xdr:row>
      <xdr:rowOff>71805</xdr:rowOff>
    </xdr:to>
    <xdr:sp macro="" textlink="">
      <xdr:nvSpPr>
        <xdr:cNvPr id="94" name="正方形/長方形 93"/>
        <xdr:cNvSpPr/>
      </xdr:nvSpPr>
      <xdr:spPr>
        <a:xfrm>
          <a:off x="5420457" y="1735016"/>
          <a:ext cx="359018" cy="14653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136280</xdr:colOff>
      <xdr:row>8</xdr:row>
      <xdr:rowOff>150935</xdr:rowOff>
    </xdr:from>
    <xdr:to>
      <xdr:col>29</xdr:col>
      <xdr:colOff>224203</xdr:colOff>
      <xdr:row>9</xdr:row>
      <xdr:rowOff>79131</xdr:rowOff>
    </xdr:to>
    <xdr:grpSp>
      <xdr:nvGrpSpPr>
        <xdr:cNvPr id="95" name="グループ化 94"/>
        <xdr:cNvGrpSpPr/>
      </xdr:nvGrpSpPr>
      <xdr:grpSpPr>
        <a:xfrm>
          <a:off x="5448299" y="1784839"/>
          <a:ext cx="337039" cy="155330"/>
          <a:chOff x="3275135" y="1245577"/>
          <a:chExt cx="373673" cy="337038"/>
        </a:xfrm>
      </xdr:grpSpPr>
      <xdr:cxnSp macro="">
        <xdr:nvCxnSpPr>
          <xdr:cNvPr id="96" name="直線コネクタ 95"/>
          <xdr:cNvCxnSpPr/>
        </xdr:nvCxnSpPr>
        <xdr:spPr>
          <a:xfrm>
            <a:off x="3275135" y="1252904"/>
            <a:ext cx="359019" cy="32971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7" name="直線コネクタ 96"/>
          <xdr:cNvCxnSpPr/>
        </xdr:nvCxnSpPr>
        <xdr:spPr>
          <a:xfrm flipV="1">
            <a:off x="3282462" y="1245577"/>
            <a:ext cx="366346" cy="32971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205153</xdr:colOff>
      <xdr:row>6</xdr:row>
      <xdr:rowOff>7327</xdr:rowOff>
    </xdr:from>
    <xdr:to>
      <xdr:col>19</xdr:col>
      <xdr:colOff>161193</xdr:colOff>
      <xdr:row>6</xdr:row>
      <xdr:rowOff>109904</xdr:rowOff>
    </xdr:to>
    <xdr:sp macro="" textlink="">
      <xdr:nvSpPr>
        <xdr:cNvPr id="98" name="テキスト ボックス 97"/>
        <xdr:cNvSpPr txBox="1"/>
      </xdr:nvSpPr>
      <xdr:spPr>
        <a:xfrm>
          <a:off x="3194538" y="1135673"/>
          <a:ext cx="527540" cy="10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b="1">
              <a:latin typeface="Times New Roman" panose="02020603050405020304" pitchFamily="18" charset="0"/>
              <a:cs typeface="Times New Roman" panose="02020603050405020304" pitchFamily="18" charset="0"/>
            </a:rPr>
            <a:t>P-Box</a:t>
          </a:r>
          <a:endParaRPr kumimoji="1" lang="ja-JP" altLang="en-US" sz="700" b="1">
            <a:latin typeface="Times New Roman" panose="02020603050405020304" pitchFamily="18" charset="0"/>
            <a:cs typeface="Times New Roman" panose="02020603050405020304" pitchFamily="18" charset="0"/>
          </a:endParaRPr>
        </a:p>
      </xdr:txBody>
    </xdr:sp>
    <xdr:clientData/>
  </xdr:twoCellAnchor>
  <xdr:twoCellAnchor>
    <xdr:from>
      <xdr:col>10</xdr:col>
      <xdr:colOff>159726</xdr:colOff>
      <xdr:row>5</xdr:row>
      <xdr:rowOff>134815</xdr:rowOff>
    </xdr:from>
    <xdr:to>
      <xdr:col>15</xdr:col>
      <xdr:colOff>87922</xdr:colOff>
      <xdr:row>6</xdr:row>
      <xdr:rowOff>80596</xdr:rowOff>
    </xdr:to>
    <xdr:sp macro="" textlink="">
      <xdr:nvSpPr>
        <xdr:cNvPr id="53" name="テキスト ボックス 52"/>
        <xdr:cNvSpPr txBox="1"/>
      </xdr:nvSpPr>
      <xdr:spPr>
        <a:xfrm>
          <a:off x="2006111" y="1036027"/>
          <a:ext cx="785446" cy="172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a:t>
          </a:r>
          <a:r>
            <a:rPr kumimoji="1" lang="ja-JP" altLang="en-US"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電線</a:t>
          </a:r>
          <a:r>
            <a:rPr kumimoji="1" lang="en-US" altLang="ja-JP"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-1]</a:t>
          </a:r>
          <a:endParaRPr kumimoji="1" lang="ja-JP" altLang="en-US"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endParaRPr>
        </a:p>
      </xdr:txBody>
    </xdr:sp>
    <xdr:clientData/>
  </xdr:twoCellAnchor>
  <xdr:twoCellAnchor>
    <xdr:from>
      <xdr:col>19</xdr:col>
      <xdr:colOff>282818</xdr:colOff>
      <xdr:row>5</xdr:row>
      <xdr:rowOff>140676</xdr:rowOff>
    </xdr:from>
    <xdr:to>
      <xdr:col>23</xdr:col>
      <xdr:colOff>115764</xdr:colOff>
      <xdr:row>6</xdr:row>
      <xdr:rowOff>86457</xdr:rowOff>
    </xdr:to>
    <xdr:sp macro="" textlink="">
      <xdr:nvSpPr>
        <xdr:cNvPr id="54" name="テキスト ボックス 53"/>
        <xdr:cNvSpPr txBox="1"/>
      </xdr:nvSpPr>
      <xdr:spPr>
        <a:xfrm>
          <a:off x="3843703" y="1041888"/>
          <a:ext cx="690196" cy="172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a:t>
          </a:r>
          <a:r>
            <a:rPr kumimoji="1" lang="ja-JP" altLang="en-US"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電線</a:t>
          </a:r>
          <a:r>
            <a:rPr kumimoji="1" lang="en-US" altLang="ja-JP"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-2]</a:t>
          </a:r>
          <a:endParaRPr kumimoji="1" lang="ja-JP" altLang="en-US"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endParaRPr>
        </a:p>
      </xdr:txBody>
    </xdr:sp>
    <xdr:clientData/>
  </xdr:twoCellAnchor>
  <xdr:twoCellAnchor>
    <xdr:from>
      <xdr:col>19</xdr:col>
      <xdr:colOff>275491</xdr:colOff>
      <xdr:row>7</xdr:row>
      <xdr:rowOff>140676</xdr:rowOff>
    </xdr:from>
    <xdr:to>
      <xdr:col>23</xdr:col>
      <xdr:colOff>108437</xdr:colOff>
      <xdr:row>8</xdr:row>
      <xdr:rowOff>86457</xdr:rowOff>
    </xdr:to>
    <xdr:sp macro="" textlink="">
      <xdr:nvSpPr>
        <xdr:cNvPr id="55" name="テキスト ボックス 54"/>
        <xdr:cNvSpPr txBox="1"/>
      </xdr:nvSpPr>
      <xdr:spPr>
        <a:xfrm>
          <a:off x="3836376" y="1496157"/>
          <a:ext cx="690196" cy="172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a:t>
          </a:r>
          <a:r>
            <a:rPr kumimoji="1" lang="ja-JP" altLang="en-US"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電線</a:t>
          </a:r>
          <a:r>
            <a:rPr kumimoji="1" lang="en-US" altLang="ja-JP"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rPr>
            <a:t>-3]</a:t>
          </a:r>
          <a:endParaRPr kumimoji="1" lang="ja-JP" altLang="en-US" sz="900" b="0">
            <a:solidFill>
              <a:schemeClr val="accent2"/>
            </a:solidFill>
            <a:latin typeface="HG明朝B" panose="02020809000000000000" pitchFamily="17" charset="-128"/>
            <a:ea typeface="HG明朝B" panose="02020809000000000000" pitchFamily="17" charset="-128"/>
            <a:cs typeface="Times New Roman" panose="02020603050405020304" pitchFamily="18" charset="0"/>
          </a:endParaRPr>
        </a:p>
      </xdr:txBody>
    </xdr:sp>
    <xdr:clientData/>
  </xdr:twoCellAnchor>
  <xdr:twoCellAnchor>
    <xdr:from>
      <xdr:col>18</xdr:col>
      <xdr:colOff>241788</xdr:colOff>
      <xdr:row>11</xdr:row>
      <xdr:rowOff>95249</xdr:rowOff>
    </xdr:from>
    <xdr:to>
      <xdr:col>28</xdr:col>
      <xdr:colOff>87923</xdr:colOff>
      <xdr:row>11</xdr:row>
      <xdr:rowOff>140968</xdr:rowOff>
    </xdr:to>
    <xdr:sp macro="" textlink="">
      <xdr:nvSpPr>
        <xdr:cNvPr id="14" name="正方形/長方形 13"/>
        <xdr:cNvSpPr/>
      </xdr:nvSpPr>
      <xdr:spPr>
        <a:xfrm>
          <a:off x="3516923" y="2410557"/>
          <a:ext cx="1883019" cy="457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218342</xdr:colOff>
      <xdr:row>9</xdr:row>
      <xdr:rowOff>132175</xdr:rowOff>
    </xdr:from>
    <xdr:to>
      <xdr:col>28</xdr:col>
      <xdr:colOff>64477</xdr:colOff>
      <xdr:row>9</xdr:row>
      <xdr:rowOff>177894</xdr:rowOff>
    </xdr:to>
    <xdr:sp macro="" textlink="">
      <xdr:nvSpPr>
        <xdr:cNvPr id="47" name="正方形/長方形 46"/>
        <xdr:cNvSpPr/>
      </xdr:nvSpPr>
      <xdr:spPr>
        <a:xfrm flipV="1">
          <a:off x="3493477" y="1993213"/>
          <a:ext cx="1883019" cy="457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xdr:row>
      <xdr:rowOff>152400</xdr:rowOff>
    </xdr:from>
    <xdr:to>
      <xdr:col>21</xdr:col>
      <xdr:colOff>438150</xdr:colOff>
      <xdr:row>6</xdr:row>
      <xdr:rowOff>66675</xdr:rowOff>
    </xdr:to>
    <xdr:grpSp>
      <xdr:nvGrpSpPr>
        <xdr:cNvPr id="2" name="Group 516"/>
        <xdr:cNvGrpSpPr>
          <a:grpSpLocks/>
        </xdr:cNvGrpSpPr>
      </xdr:nvGrpSpPr>
      <xdr:grpSpPr bwMode="auto">
        <a:xfrm>
          <a:off x="1443878" y="320488"/>
          <a:ext cx="8777007" cy="754716"/>
          <a:chOff x="151" y="34"/>
          <a:chExt cx="922" cy="81"/>
        </a:xfrm>
      </xdr:grpSpPr>
      <xdr:grpSp>
        <xdr:nvGrpSpPr>
          <xdr:cNvPr id="3" name="Group 409"/>
          <xdr:cNvGrpSpPr>
            <a:grpSpLocks/>
          </xdr:cNvGrpSpPr>
        </xdr:nvGrpSpPr>
        <xdr:grpSpPr bwMode="auto">
          <a:xfrm>
            <a:off x="151" y="34"/>
            <a:ext cx="333" cy="43"/>
            <a:chOff x="152" y="15"/>
            <a:chExt cx="333" cy="43"/>
          </a:xfrm>
        </xdr:grpSpPr>
        <xdr:sp macro="" textlink="">
          <xdr:nvSpPr>
            <xdr:cNvPr id="7" name="AutoShape 5"/>
            <xdr:cNvSpPr>
              <a:spLocks noChangeArrowheads="1"/>
            </xdr:cNvSpPr>
          </xdr:nvSpPr>
          <xdr:spPr bwMode="auto">
            <a:xfrm>
              <a:off x="152" y="16"/>
              <a:ext cx="333" cy="42"/>
            </a:xfrm>
            <a:prstGeom prst="parallelogram">
              <a:avLst>
                <a:gd name="adj" fmla="val 15637"/>
              </a:avLst>
            </a:prstGeom>
            <a:solidFill>
              <a:srgbClr xmlns:mc="http://schemas.openxmlformats.org/markup-compatibility/2006" xmlns:a14="http://schemas.microsoft.com/office/drawing/2010/main" val="00FFFF" mc:Ignorable="a14" a14:legacySpreadsheetColorIndex="1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 name="Text Box 6"/>
            <xdr:cNvSpPr txBox="1">
              <a:spLocks noChangeArrowheads="1"/>
            </xdr:cNvSpPr>
          </xdr:nvSpPr>
          <xdr:spPr bwMode="auto">
            <a:xfrm>
              <a:off x="159" y="15"/>
              <a:ext cx="317" cy="4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en-US" altLang="ja-JP" sz="900" b="1" i="0" u="none" strike="noStrike" baseline="0">
                  <a:solidFill>
                    <a:srgbClr val="CCCCFF"/>
                  </a:solidFill>
                  <a:latin typeface="ＭＳ Ｐゴシック"/>
                  <a:ea typeface="ＭＳ Ｐゴシック"/>
                </a:rPr>
                <a:t> </a:t>
              </a:r>
              <a:r>
                <a:rPr lang="en-US" altLang="ja-JP" sz="1100" b="1" i="0" u="none" strike="noStrike" baseline="0">
                  <a:solidFill>
                    <a:srgbClr val="FF99CC"/>
                  </a:solidFill>
                  <a:latin typeface="Times New Roman"/>
                  <a:cs typeface="Times New Roman"/>
                </a:rPr>
                <a:t>Exchange circuit analisys calculation -VD</a:t>
              </a:r>
              <a:r>
                <a:rPr lang="ja-JP" altLang="en-US" sz="1100" b="1" i="0" u="none" strike="noStrike" baseline="0">
                  <a:solidFill>
                    <a:srgbClr val="FF99CC"/>
                  </a:solidFill>
                  <a:latin typeface="ＭＳ Ｐゴシック"/>
                  <a:ea typeface="ＭＳ Ｐゴシック"/>
                </a:rPr>
                <a:t>４</a:t>
              </a:r>
              <a:endParaRPr lang="ja-JP" altLang="en-US" sz="900" b="1" i="0" u="none" strike="noStrike" baseline="0">
                <a:solidFill>
                  <a:srgbClr val="CC99FF"/>
                </a:solidFill>
                <a:latin typeface="ＭＳ Ｐゴシック"/>
                <a:ea typeface="ＭＳ Ｐゴシック"/>
              </a:endParaRPr>
            </a:p>
            <a:p>
              <a:pPr algn="ctr" rtl="0">
                <a:lnSpc>
                  <a:spcPts val="1000"/>
                </a:lnSpc>
                <a:defRPr sz="1000"/>
              </a:pPr>
              <a:r>
                <a:rPr lang="ja-JP" altLang="en-US" sz="900" b="1" i="0" u="none" strike="noStrike" baseline="0">
                  <a:solidFill>
                    <a:srgbClr val="CC99FF"/>
                  </a:solidFill>
                  <a:latin typeface="ＭＳ Ｐゴシック"/>
                  <a:ea typeface="ＭＳ Ｐゴシック"/>
                </a:rPr>
                <a:t>２００２</a:t>
              </a:r>
              <a:r>
                <a:rPr lang="ja-JP" altLang="en-US" sz="800" b="1" i="0" u="none" strike="noStrike" baseline="0">
                  <a:solidFill>
                    <a:srgbClr val="CC99FF"/>
                  </a:solidFill>
                  <a:latin typeface="ＭＳ Ｐゴシック"/>
                  <a:ea typeface="ＭＳ Ｐゴシック"/>
                </a:rPr>
                <a:t>　Ａｕｇ．</a:t>
              </a:r>
              <a:r>
                <a:rPr lang="ja-JP" altLang="en-US" sz="800" b="1" i="0" u="none" strike="noStrike" baseline="0">
                  <a:solidFill>
                    <a:srgbClr val="CC99FF"/>
                  </a:solidFill>
                  <a:latin typeface="Times New Roman"/>
                  <a:cs typeface="Times New Roman"/>
                </a:rPr>
                <a:t>  </a:t>
              </a:r>
              <a:r>
                <a:rPr lang="ja-JP" altLang="en-US" sz="800" b="1" i="0" u="none" strike="noStrike" baseline="0">
                  <a:solidFill>
                    <a:srgbClr val="CC99FF"/>
                  </a:solidFill>
                  <a:latin typeface="ＭＳ Ｐゴシック"/>
                  <a:ea typeface="ＭＳ Ｐゴシック"/>
                </a:rPr>
                <a:t>Ｖｅｒ　２．</a:t>
              </a:r>
              <a:r>
                <a:rPr lang="en-US" altLang="ja-JP" sz="800" b="1" i="0" u="none" strike="noStrike" baseline="0">
                  <a:solidFill>
                    <a:srgbClr val="CC99FF"/>
                  </a:solidFill>
                  <a:latin typeface="ＭＳ Ｐゴシック"/>
                  <a:ea typeface="ＭＳ Ｐゴシック"/>
                </a:rPr>
                <a:t>0   </a:t>
              </a:r>
              <a:r>
                <a:rPr lang="ja-JP" altLang="en-US" sz="900" b="1" i="0" u="none" strike="noStrike" baseline="0">
                  <a:solidFill>
                    <a:srgbClr val="CC99FF"/>
                  </a:solidFill>
                  <a:latin typeface="ＭＳ Ｐゴシック"/>
                  <a:ea typeface="ＭＳ Ｐゴシック"/>
                </a:rPr>
                <a:t>　</a:t>
              </a:r>
              <a:r>
                <a:rPr lang="en-US" altLang="ja-JP" sz="900" b="1" i="0" u="none" strike="noStrike" baseline="0">
                  <a:solidFill>
                    <a:srgbClr val="CC99FF"/>
                  </a:solidFill>
                  <a:latin typeface="ＭＳ Ｐゴシック"/>
                  <a:ea typeface="ＭＳ Ｐゴシック"/>
                </a:rPr>
                <a:t>by</a:t>
              </a:r>
              <a:r>
                <a:rPr lang="ja-JP" altLang="en-US" sz="900" b="1" i="0" u="none" strike="noStrike" baseline="0">
                  <a:solidFill>
                    <a:srgbClr val="CC99FF"/>
                  </a:solidFill>
                  <a:latin typeface="ＭＳ Ｐゴシック"/>
                  <a:ea typeface="ＭＳ Ｐゴシック"/>
                </a:rPr>
                <a:t>　ＥＳＥ  </a:t>
              </a:r>
              <a:r>
                <a:rPr lang="en-US" altLang="ja-JP" sz="900" b="1" i="0" u="none" strike="noStrike" baseline="0">
                  <a:solidFill>
                    <a:srgbClr val="CC99FF"/>
                  </a:solidFill>
                  <a:latin typeface="ＭＳ Ｐゴシック"/>
                  <a:ea typeface="ＭＳ Ｐゴシック"/>
                </a:rPr>
                <a:t>SERVICE</a:t>
              </a:r>
            </a:p>
          </xdr:txBody>
        </xdr:sp>
      </xdr:grpSp>
      <xdr:sp macro="" textlink="">
        <xdr:nvSpPr>
          <xdr:cNvPr id="4" name="Text Box 355"/>
          <xdr:cNvSpPr txBox="1">
            <a:spLocks noChangeArrowheads="1"/>
          </xdr:cNvSpPr>
        </xdr:nvSpPr>
        <xdr:spPr bwMode="auto">
          <a:xfrm>
            <a:off x="542" y="37"/>
            <a:ext cx="531" cy="30"/>
          </a:xfrm>
          <a:prstGeom prst="rect">
            <a:avLst/>
          </a:prstGeom>
          <a:solidFill>
            <a:srgbClr xmlns:mc="http://schemas.openxmlformats.org/markup-compatibility/2006" xmlns:a14="http://schemas.microsoft.com/office/drawing/2010/main" val="C0C0C0" mc:Ignorable="a14" a14:legacySpreadsheetColorIndex="22"/>
          </a:solidFill>
          <a:ln>
            <a:noFill/>
          </a:ln>
          <a:effectLst/>
          <a:extLst>
            <a:ext uri="{91240B29-F687-4F45-9708-019B960494DF}">
              <a14:hiddenLine xmlns:a14="http://schemas.microsoft.com/office/drawing/2010/main" w="3175">
                <a:solidFill>
                  <a:srgbClr xmlns:mc="http://schemas.openxmlformats.org/markup-compatibility/2006" val="FFFF99" mc:Ignorable="a14" a14:legacySpreadsheetColorIndex="4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200" b="1" i="0" u="none" strike="noStrike" baseline="0">
                <a:solidFill>
                  <a:srgbClr val="808080"/>
                </a:solidFill>
                <a:latin typeface="ＭＳ Ｐゴシック"/>
                <a:ea typeface="ＭＳ Ｐゴシック"/>
              </a:rPr>
              <a:t>右上赤色のセルにカ－ソルを近づけると「コメント文」が、表示されます。</a:t>
            </a:r>
          </a:p>
        </xdr:txBody>
      </xdr:sp>
      <xdr:sp macro="" textlink="">
        <xdr:nvSpPr>
          <xdr:cNvPr id="5" name="Text Box 456"/>
          <xdr:cNvSpPr txBox="1">
            <a:spLocks noChangeArrowheads="1"/>
          </xdr:cNvSpPr>
        </xdr:nvSpPr>
        <xdr:spPr bwMode="auto">
          <a:xfrm>
            <a:off x="153" y="90"/>
            <a:ext cx="94" cy="25"/>
          </a:xfrm>
          <a:prstGeom prst="rect">
            <a:avLst/>
          </a:prstGeom>
          <a:solidFill>
            <a:srgbClr xmlns:mc="http://schemas.openxmlformats.org/markup-compatibility/2006" xmlns:a14="http://schemas.microsoft.com/office/drawing/2010/main" val="FFFFCC" mc:Ignorable="a14" a14:legacySpreadsheetColorIndex="26"/>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入力セル</a:t>
            </a:r>
          </a:p>
        </xdr:txBody>
      </xdr:sp>
      <xdr:sp macro="" textlink="">
        <xdr:nvSpPr>
          <xdr:cNvPr id="6" name="Text Box 457"/>
          <xdr:cNvSpPr txBox="1">
            <a:spLocks noChangeArrowheads="1"/>
          </xdr:cNvSpPr>
        </xdr:nvSpPr>
        <xdr:spPr bwMode="auto">
          <a:xfrm>
            <a:off x="258" y="90"/>
            <a:ext cx="90" cy="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400" b="1" i="0" u="none" strike="noStrike" baseline="0">
                <a:solidFill>
                  <a:srgbClr val="0000FF"/>
                </a:solidFill>
                <a:latin typeface="ＭＳ Ｐゴシック"/>
                <a:ea typeface="ＭＳ Ｐゴシック"/>
              </a:rPr>
              <a:t>自動表示</a:t>
            </a:r>
          </a:p>
        </xdr:txBody>
      </xdr:sp>
    </xdr:grpSp>
    <xdr:clientData/>
  </xdr:twoCellAnchor>
  <xdr:twoCellAnchor>
    <xdr:from>
      <xdr:col>3</xdr:col>
      <xdr:colOff>66675</xdr:colOff>
      <xdr:row>77</xdr:row>
      <xdr:rowOff>38100</xdr:rowOff>
    </xdr:from>
    <xdr:to>
      <xdr:col>37</xdr:col>
      <xdr:colOff>266700</xdr:colOff>
      <xdr:row>77</xdr:row>
      <xdr:rowOff>342900</xdr:rowOff>
    </xdr:to>
    <xdr:grpSp>
      <xdr:nvGrpSpPr>
        <xdr:cNvPr id="9" name="Group 513"/>
        <xdr:cNvGrpSpPr>
          <a:grpSpLocks/>
        </xdr:cNvGrpSpPr>
      </xdr:nvGrpSpPr>
      <xdr:grpSpPr bwMode="auto">
        <a:xfrm>
          <a:off x="1501028" y="13720482"/>
          <a:ext cx="17356231" cy="304800"/>
          <a:chOff x="157" y="1444"/>
          <a:chExt cx="1826" cy="32"/>
        </a:xfrm>
      </xdr:grpSpPr>
      <xdr:sp macro="" textlink="">
        <xdr:nvSpPr>
          <xdr:cNvPr id="10" name="Text Box 421"/>
          <xdr:cNvSpPr txBox="1">
            <a:spLocks noChangeArrowheads="1"/>
          </xdr:cNvSpPr>
        </xdr:nvSpPr>
        <xdr:spPr bwMode="auto">
          <a:xfrm>
            <a:off x="157" y="1455"/>
            <a:ext cx="63"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物件名称</a:t>
            </a:r>
          </a:p>
        </xdr:txBody>
      </xdr:sp>
      <xdr:grpSp>
        <xdr:nvGrpSpPr>
          <xdr:cNvPr id="11" name="Group 512"/>
          <xdr:cNvGrpSpPr>
            <a:grpSpLocks/>
          </xdr:cNvGrpSpPr>
        </xdr:nvGrpSpPr>
        <xdr:grpSpPr bwMode="auto">
          <a:xfrm>
            <a:off x="1578" y="1444"/>
            <a:ext cx="405" cy="20"/>
            <a:chOff x="1578" y="1444"/>
            <a:chExt cx="405" cy="20"/>
          </a:xfrm>
        </xdr:grpSpPr>
        <xdr:sp macro="" textlink="">
          <xdr:nvSpPr>
            <xdr:cNvPr id="12" name="Text Box 364"/>
            <xdr:cNvSpPr txBox="1">
              <a:spLocks noChangeArrowheads="1"/>
            </xdr:cNvSpPr>
          </xdr:nvSpPr>
          <xdr:spPr bwMode="auto">
            <a:xfrm>
              <a:off x="1771" y="1444"/>
              <a:ext cx="29"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担当</a:t>
              </a:r>
            </a:p>
          </xdr:txBody>
        </xdr:sp>
        <xdr:sp macro="" textlink="">
          <xdr:nvSpPr>
            <xdr:cNvPr id="13" name="Text Box 365"/>
            <xdr:cNvSpPr txBox="1">
              <a:spLocks noChangeArrowheads="1"/>
            </xdr:cNvSpPr>
          </xdr:nvSpPr>
          <xdr:spPr bwMode="auto">
            <a:xfrm>
              <a:off x="1960" y="1444"/>
              <a:ext cx="23"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ＭＳ Ｐ明朝"/>
                  <a:ea typeface="ＭＳ Ｐ明朝"/>
                </a:rPr>
                <a:t>No.</a:t>
              </a:r>
            </a:p>
          </xdr:txBody>
        </xdr:sp>
        <xdr:sp macro="" textlink="">
          <xdr:nvSpPr>
            <xdr:cNvPr id="14" name="Text Box 461"/>
            <xdr:cNvSpPr txBox="1">
              <a:spLocks noChangeArrowheads="1"/>
            </xdr:cNvSpPr>
          </xdr:nvSpPr>
          <xdr:spPr bwMode="auto">
            <a:xfrm>
              <a:off x="1578" y="1444"/>
              <a:ext cx="30"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検印</a:t>
              </a:r>
            </a:p>
          </xdr:txBody>
        </xdr:sp>
      </xdr:grpSp>
    </xdr:grpSp>
    <xdr:clientData/>
  </xdr:twoCellAnchor>
  <xdr:twoCellAnchor>
    <xdr:from>
      <xdr:col>3</xdr:col>
      <xdr:colOff>38100</xdr:colOff>
      <xdr:row>65</xdr:row>
      <xdr:rowOff>38100</xdr:rowOff>
    </xdr:from>
    <xdr:to>
      <xdr:col>27</xdr:col>
      <xdr:colOff>409575</xdr:colOff>
      <xdr:row>76</xdr:row>
      <xdr:rowOff>238125</xdr:rowOff>
    </xdr:to>
    <xdr:grpSp>
      <xdr:nvGrpSpPr>
        <xdr:cNvPr id="15" name="Group 847"/>
        <xdr:cNvGrpSpPr>
          <a:grpSpLocks/>
        </xdr:cNvGrpSpPr>
      </xdr:nvGrpSpPr>
      <xdr:grpSpPr bwMode="auto">
        <a:xfrm>
          <a:off x="1472453" y="10762129"/>
          <a:ext cx="11846298" cy="2911849"/>
          <a:chOff x="154" y="1132"/>
          <a:chExt cx="1246" cy="307"/>
        </a:xfrm>
      </xdr:grpSpPr>
      <xdr:sp macro="" textlink="" fLocksText="0">
        <xdr:nvSpPr>
          <xdr:cNvPr id="16" name="Text Box 467"/>
          <xdr:cNvSpPr txBox="1">
            <a:spLocks noChangeArrowheads="1"/>
          </xdr:cNvSpPr>
        </xdr:nvSpPr>
        <xdr:spPr bwMode="auto">
          <a:xfrm>
            <a:off x="891" y="1417"/>
            <a:ext cx="47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ysClr val="windowText" lastClr="000000"/>
                </a:solidFill>
                <a:latin typeface="ＭＳ Ｐゴシック"/>
                <a:ea typeface="ＭＳ Ｐゴシック"/>
              </a:rPr>
              <a:t> </a:t>
            </a:r>
            <a:r>
              <a:rPr lang="en-US" altLang="ja-JP" sz="1000" b="0" i="0" u="none" strike="noStrike" baseline="0">
                <a:solidFill>
                  <a:sysClr val="windowText" lastClr="000000"/>
                </a:solidFill>
                <a:latin typeface="ＭＳ 明朝"/>
                <a:ea typeface="ＭＳ 明朝"/>
              </a:rPr>
              <a:t>(</a:t>
            </a:r>
            <a:r>
              <a:rPr lang="ja-JP" altLang="en-US" sz="1000" b="0" i="0" u="none" strike="noStrike" baseline="0">
                <a:solidFill>
                  <a:sysClr val="windowText" lastClr="000000"/>
                </a:solidFill>
                <a:latin typeface="ＭＳ 明朝"/>
                <a:ea typeface="ＭＳ 明朝"/>
              </a:rPr>
              <a:t>注</a:t>
            </a:r>
            <a:r>
              <a:rPr lang="en-US" altLang="ja-JP" sz="1000" b="0" i="0" u="none" strike="noStrike" baseline="0">
                <a:solidFill>
                  <a:sysClr val="windowText" lastClr="000000"/>
                </a:solidFill>
                <a:latin typeface="ＭＳ 明朝"/>
                <a:ea typeface="ＭＳ 明朝"/>
              </a:rPr>
              <a:t>)</a:t>
            </a:r>
            <a:r>
              <a:rPr lang="ja-JP" altLang="en-US" sz="1000" b="0" i="0" u="none" strike="noStrike" baseline="0">
                <a:solidFill>
                  <a:sysClr val="windowText" lastClr="000000"/>
                </a:solidFill>
                <a:latin typeface="ＭＳ 明朝"/>
                <a:ea typeface="ＭＳ 明朝"/>
              </a:rPr>
              <a:t>計算は、オーム法による。</a:t>
            </a:r>
          </a:p>
        </xdr:txBody>
      </xdr:sp>
      <xdr:sp macro="" textlink="">
        <xdr:nvSpPr>
          <xdr:cNvPr id="17" name="Line 527"/>
          <xdr:cNvSpPr>
            <a:spLocks noChangeShapeType="1"/>
          </xdr:cNvSpPr>
        </xdr:nvSpPr>
        <xdr:spPr bwMode="auto">
          <a:xfrm>
            <a:off x="177" y="1403"/>
            <a:ext cx="0" cy="32"/>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8" name="Line 528"/>
          <xdr:cNvSpPr>
            <a:spLocks noChangeShapeType="1"/>
          </xdr:cNvSpPr>
        </xdr:nvSpPr>
        <xdr:spPr bwMode="auto">
          <a:xfrm>
            <a:off x="323" y="1403"/>
            <a:ext cx="0" cy="32"/>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9" name="Line 529"/>
          <xdr:cNvSpPr>
            <a:spLocks noChangeShapeType="1"/>
          </xdr:cNvSpPr>
        </xdr:nvSpPr>
        <xdr:spPr bwMode="auto">
          <a:xfrm>
            <a:off x="847" y="1403"/>
            <a:ext cx="0" cy="32"/>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0" name="Line 530"/>
          <xdr:cNvSpPr>
            <a:spLocks noChangeShapeType="1"/>
          </xdr:cNvSpPr>
        </xdr:nvSpPr>
        <xdr:spPr bwMode="auto">
          <a:xfrm>
            <a:off x="543" y="1403"/>
            <a:ext cx="0" cy="32"/>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 name="Line 531"/>
          <xdr:cNvSpPr>
            <a:spLocks noChangeShapeType="1"/>
          </xdr:cNvSpPr>
        </xdr:nvSpPr>
        <xdr:spPr bwMode="auto">
          <a:xfrm>
            <a:off x="639" y="1403"/>
            <a:ext cx="0" cy="32"/>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 name="Line 532"/>
          <xdr:cNvSpPr>
            <a:spLocks noChangeShapeType="1"/>
          </xdr:cNvSpPr>
        </xdr:nvSpPr>
        <xdr:spPr bwMode="auto">
          <a:xfrm>
            <a:off x="743" y="1403"/>
            <a:ext cx="0" cy="32"/>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 name="Line 533"/>
          <xdr:cNvSpPr>
            <a:spLocks noChangeShapeType="1"/>
          </xdr:cNvSpPr>
        </xdr:nvSpPr>
        <xdr:spPr bwMode="auto">
          <a:xfrm flipV="1">
            <a:off x="192" y="1321"/>
            <a:ext cx="0" cy="7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 name="Oval 534"/>
          <xdr:cNvSpPr>
            <a:spLocks noChangeArrowheads="1"/>
          </xdr:cNvSpPr>
        </xdr:nvSpPr>
        <xdr:spPr bwMode="auto">
          <a:xfrm>
            <a:off x="177" y="1290"/>
            <a:ext cx="32" cy="3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 name="Line 535"/>
          <xdr:cNvSpPr>
            <a:spLocks noChangeShapeType="1"/>
          </xdr:cNvSpPr>
        </xdr:nvSpPr>
        <xdr:spPr bwMode="auto">
          <a:xfrm>
            <a:off x="322" y="1312"/>
            <a:ext cx="19"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6" name="Line 536"/>
          <xdr:cNvSpPr>
            <a:spLocks noChangeShapeType="1"/>
          </xdr:cNvSpPr>
        </xdr:nvSpPr>
        <xdr:spPr bwMode="auto">
          <a:xfrm>
            <a:off x="193" y="1203"/>
            <a:ext cx="0" cy="8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 name="Text Box 537"/>
          <xdr:cNvSpPr txBox="1">
            <a:spLocks noChangeArrowheads="1"/>
          </xdr:cNvSpPr>
        </xdr:nvSpPr>
        <xdr:spPr bwMode="auto">
          <a:xfrm>
            <a:off x="468" y="1303"/>
            <a:ext cx="69" cy="1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－２</a:t>
            </a:r>
            <a:r>
              <a:rPr lang="ja-JP" altLang="en-US" sz="800" b="0" i="0" u="none" strike="noStrike" baseline="0">
                <a:solidFill>
                  <a:srgbClr val="000000"/>
                </a:solidFill>
                <a:latin typeface="ＭＳ Ｐゴシック"/>
                <a:ea typeface="ＭＳ Ｐゴシック"/>
              </a:rPr>
              <a:t>ｎ</a:t>
            </a:r>
          </a:p>
        </xdr:txBody>
      </xdr:sp>
      <xdr:sp macro="" textlink="">
        <xdr:nvSpPr>
          <xdr:cNvPr id="28" name="Line 538"/>
          <xdr:cNvSpPr>
            <a:spLocks noChangeShapeType="1"/>
          </xdr:cNvSpPr>
        </xdr:nvSpPr>
        <xdr:spPr bwMode="auto">
          <a:xfrm flipV="1">
            <a:off x="631" y="1395"/>
            <a:ext cx="199"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 name="Freeform 539"/>
          <xdr:cNvSpPr>
            <a:spLocks/>
          </xdr:cNvSpPr>
        </xdr:nvSpPr>
        <xdr:spPr bwMode="auto">
          <a:xfrm>
            <a:off x="182" y="1299"/>
            <a:ext cx="23" cy="12"/>
          </a:xfrm>
          <a:custGeom>
            <a:avLst/>
            <a:gdLst>
              <a:gd name="T0" fmla="*/ 0 w 25"/>
              <a:gd name="T1" fmla="*/ 8 h 12"/>
              <a:gd name="T2" fmla="*/ 2 w 25"/>
              <a:gd name="T3" fmla="*/ 3 h 12"/>
              <a:gd name="T4" fmla="*/ 5 w 25"/>
              <a:gd name="T5" fmla="*/ 0 h 12"/>
              <a:gd name="T6" fmla="*/ 7 w 25"/>
              <a:gd name="T7" fmla="*/ 0 h 12"/>
              <a:gd name="T8" fmla="*/ 10 w 25"/>
              <a:gd name="T9" fmla="*/ 3 h 12"/>
              <a:gd name="T10" fmla="*/ 12 w 25"/>
              <a:gd name="T11" fmla="*/ 7 h 12"/>
              <a:gd name="T12" fmla="*/ 16 w 25"/>
              <a:gd name="T13" fmla="*/ 11 h 12"/>
              <a:gd name="T14" fmla="*/ 19 w 25"/>
              <a:gd name="T15" fmla="*/ 12 h 12"/>
              <a:gd name="T16" fmla="*/ 22 w 25"/>
              <a:gd name="T17" fmla="*/ 9 h 12"/>
              <a:gd name="T18" fmla="*/ 25 w 25"/>
              <a:gd name="T19" fmla="*/ 3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2">
                <a:moveTo>
                  <a:pt x="0" y="8"/>
                </a:moveTo>
                <a:cubicBezTo>
                  <a:pt x="0" y="6"/>
                  <a:pt x="1" y="4"/>
                  <a:pt x="2" y="3"/>
                </a:cubicBezTo>
                <a:cubicBezTo>
                  <a:pt x="3" y="2"/>
                  <a:pt x="4" y="0"/>
                  <a:pt x="5" y="0"/>
                </a:cubicBezTo>
                <a:cubicBezTo>
                  <a:pt x="6" y="0"/>
                  <a:pt x="6" y="0"/>
                  <a:pt x="7" y="0"/>
                </a:cubicBezTo>
                <a:cubicBezTo>
                  <a:pt x="8" y="0"/>
                  <a:pt x="9" y="2"/>
                  <a:pt x="10" y="3"/>
                </a:cubicBezTo>
                <a:cubicBezTo>
                  <a:pt x="11" y="4"/>
                  <a:pt x="11" y="6"/>
                  <a:pt x="12" y="7"/>
                </a:cubicBezTo>
                <a:cubicBezTo>
                  <a:pt x="13" y="8"/>
                  <a:pt x="15" y="10"/>
                  <a:pt x="16" y="11"/>
                </a:cubicBezTo>
                <a:cubicBezTo>
                  <a:pt x="17" y="12"/>
                  <a:pt x="18" y="12"/>
                  <a:pt x="19" y="12"/>
                </a:cubicBezTo>
                <a:cubicBezTo>
                  <a:pt x="20" y="12"/>
                  <a:pt x="21" y="10"/>
                  <a:pt x="22" y="9"/>
                </a:cubicBezTo>
                <a:cubicBezTo>
                  <a:pt x="23" y="8"/>
                  <a:pt x="24" y="4"/>
                  <a:pt x="25" y="3"/>
                </a:cubicBezTo>
              </a:path>
            </a:pathLst>
          </a:custGeom>
          <a:noFill/>
          <a:ln w="9525" cap="flat" cmpd="sng">
            <a:solidFill>
              <a:srgbClr val="0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 name="Text Box 540"/>
          <xdr:cNvSpPr txBox="1">
            <a:spLocks noChangeArrowheads="1"/>
          </xdr:cNvSpPr>
        </xdr:nvSpPr>
        <xdr:spPr bwMode="auto">
          <a:xfrm>
            <a:off x="464" y="1283"/>
            <a:ext cx="95"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２</a:t>
            </a:r>
            <a:r>
              <a:rPr lang="ja-JP" altLang="en-US" sz="800" b="0" i="0" u="none" strike="noStrike" baseline="0">
                <a:solidFill>
                  <a:srgbClr val="000000"/>
                </a:solidFill>
                <a:latin typeface="ＭＳ Ｐゴシック"/>
                <a:ea typeface="ＭＳ Ｐゴシック"/>
              </a:rPr>
              <a:t>ｎ</a:t>
            </a:r>
            <a:r>
              <a:rPr lang="ja-JP" altLang="en-US" sz="1000" b="0"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j</a:t>
            </a:r>
            <a:r>
              <a:rPr lang="el-GR" altLang="ja-JP" sz="900" b="1" i="0" u="none" strike="noStrike" baseline="0">
                <a:solidFill>
                  <a:srgbClr val="000000"/>
                </a:solidFill>
                <a:latin typeface="ＭＳ Ｐゴシック"/>
                <a:ea typeface="ＭＳ Ｐゴシック"/>
              </a:rPr>
              <a:t>ω</a:t>
            </a:r>
            <a:r>
              <a:rPr lang="ja-JP" altLang="en-US" sz="900" b="1" i="0" u="none" strike="noStrike" baseline="0">
                <a:solidFill>
                  <a:srgbClr val="000000"/>
                </a:solidFill>
                <a:latin typeface="ＭＳ Ｐゴシック"/>
                <a:ea typeface="ＭＳ Ｐゴシック"/>
              </a:rPr>
              <a:t>Ｌ</a:t>
            </a:r>
            <a:r>
              <a:rPr lang="en-US" altLang="ja-JP" sz="600" b="0"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２</a:t>
            </a:r>
            <a:r>
              <a:rPr lang="ja-JP" altLang="en-US" sz="800" b="0" i="0" u="none" strike="noStrike" baseline="0">
                <a:solidFill>
                  <a:srgbClr val="000000"/>
                </a:solidFill>
                <a:latin typeface="ＭＳ Ｐゴシック"/>
                <a:ea typeface="ＭＳ Ｐゴシック"/>
              </a:rPr>
              <a:t>ｎ</a:t>
            </a:r>
          </a:p>
        </xdr:txBody>
      </xdr:sp>
      <xdr:sp macro="" textlink="" fLocksText="0">
        <xdr:nvSpPr>
          <xdr:cNvPr id="31" name="Text Box 541"/>
          <xdr:cNvSpPr txBox="1">
            <a:spLocks noChangeArrowheads="1"/>
          </xdr:cNvSpPr>
        </xdr:nvSpPr>
        <xdr:spPr bwMode="auto">
          <a:xfrm>
            <a:off x="435" y="1249"/>
            <a:ext cx="25"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32" name="Text Box 542"/>
          <xdr:cNvSpPr txBox="1">
            <a:spLocks noChangeArrowheads="1"/>
          </xdr:cNvSpPr>
        </xdr:nvSpPr>
        <xdr:spPr bwMode="auto">
          <a:xfrm>
            <a:off x="447" y="1251"/>
            <a:ext cx="36"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en-US" altLang="ja-JP"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Ｃ２</a:t>
            </a:r>
          </a:p>
        </xdr:txBody>
      </xdr:sp>
      <xdr:sp macro="" textlink="">
        <xdr:nvSpPr>
          <xdr:cNvPr id="33" name="Line 543"/>
          <xdr:cNvSpPr>
            <a:spLocks noChangeShapeType="1"/>
          </xdr:cNvSpPr>
        </xdr:nvSpPr>
        <xdr:spPr bwMode="auto">
          <a:xfrm>
            <a:off x="777" y="1171"/>
            <a:ext cx="10"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4" name="Line 544"/>
          <xdr:cNvSpPr>
            <a:spLocks noChangeShapeType="1"/>
          </xdr:cNvSpPr>
        </xdr:nvSpPr>
        <xdr:spPr bwMode="auto">
          <a:xfrm>
            <a:off x="777" y="1171"/>
            <a:ext cx="0" cy="42"/>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5" name="Text Box 545"/>
          <xdr:cNvSpPr txBox="1">
            <a:spLocks noChangeArrowheads="1"/>
          </xdr:cNvSpPr>
        </xdr:nvSpPr>
        <xdr:spPr bwMode="auto">
          <a:xfrm>
            <a:off x="561" y="1293"/>
            <a:ext cx="36"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a:t>
            </a:r>
            <a:r>
              <a:rPr lang="ja-JP" altLang="en-US" sz="800" b="0" i="0" u="none" strike="noStrike" baseline="0">
                <a:solidFill>
                  <a:srgbClr val="FF0000"/>
                </a:solidFill>
                <a:latin typeface="ＭＳ Ｐゴシック"/>
                <a:ea typeface="ＭＳ Ｐゴシック"/>
              </a:rPr>
              <a:t>ｎ</a:t>
            </a:r>
          </a:p>
        </xdr:txBody>
      </xdr:sp>
      <xdr:sp macro="" textlink="">
        <xdr:nvSpPr>
          <xdr:cNvPr id="36" name="Line 546"/>
          <xdr:cNvSpPr>
            <a:spLocks noChangeShapeType="1"/>
          </xdr:cNvSpPr>
        </xdr:nvSpPr>
        <xdr:spPr bwMode="auto">
          <a:xfrm>
            <a:off x="788" y="1355"/>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7" name="Line 547"/>
          <xdr:cNvSpPr>
            <a:spLocks noChangeShapeType="1"/>
          </xdr:cNvSpPr>
        </xdr:nvSpPr>
        <xdr:spPr bwMode="auto">
          <a:xfrm>
            <a:off x="437" y="1312"/>
            <a:ext cx="0" cy="38"/>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 name="Line 548"/>
          <xdr:cNvSpPr>
            <a:spLocks noChangeShapeType="1"/>
          </xdr:cNvSpPr>
        </xdr:nvSpPr>
        <xdr:spPr bwMode="auto">
          <a:xfrm>
            <a:off x="830" y="1368"/>
            <a:ext cx="0" cy="2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9" name="Text Box 549"/>
          <xdr:cNvSpPr txBox="1">
            <a:spLocks noChangeArrowheads="1"/>
          </xdr:cNvSpPr>
        </xdr:nvSpPr>
        <xdr:spPr bwMode="auto">
          <a:xfrm>
            <a:off x="765" y="1357"/>
            <a:ext cx="21" cy="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ＪＳゴシック"/>
              </a:rPr>
              <a:t>1</a:t>
            </a:r>
          </a:p>
        </xdr:txBody>
      </xdr:sp>
      <xdr:sp macro="" textlink="" fLocksText="0">
        <xdr:nvSpPr>
          <xdr:cNvPr id="40" name="Text Box 550"/>
          <xdr:cNvSpPr txBox="1">
            <a:spLocks noChangeArrowheads="1"/>
          </xdr:cNvSpPr>
        </xdr:nvSpPr>
        <xdr:spPr bwMode="auto">
          <a:xfrm>
            <a:off x="744" y="1368"/>
            <a:ext cx="60"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j</a:t>
            </a:r>
            <a:r>
              <a:rPr lang="el-GR" altLang="ja-JP" sz="1000" b="1" i="0" u="none" strike="noStrike" baseline="0">
                <a:solidFill>
                  <a:srgbClr val="000000"/>
                </a:solidFill>
                <a:latin typeface="ＭＳ Ｐゴシック"/>
                <a:ea typeface="ＭＳ Ｐゴシック"/>
              </a:rPr>
              <a:t>ω</a:t>
            </a:r>
            <a:r>
              <a:rPr lang="en-US" altLang="ja-JP" sz="1000" b="1"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Ｌ１</a:t>
            </a:r>
          </a:p>
        </xdr:txBody>
      </xdr:sp>
      <xdr:sp macro="" textlink="">
        <xdr:nvSpPr>
          <xdr:cNvPr id="41" name="Line 551"/>
          <xdr:cNvSpPr>
            <a:spLocks noChangeShapeType="1"/>
          </xdr:cNvSpPr>
        </xdr:nvSpPr>
        <xdr:spPr bwMode="auto">
          <a:xfrm>
            <a:off x="751" y="1372"/>
            <a:ext cx="42"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2" name="Line 552"/>
          <xdr:cNvSpPr>
            <a:spLocks noChangeShapeType="1"/>
          </xdr:cNvSpPr>
        </xdr:nvSpPr>
        <xdr:spPr bwMode="auto">
          <a:xfrm>
            <a:off x="788" y="1361"/>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3" name="Text Box 553"/>
          <xdr:cNvSpPr txBox="1">
            <a:spLocks noChangeArrowheads="1"/>
          </xdr:cNvSpPr>
        </xdr:nvSpPr>
        <xdr:spPr bwMode="auto">
          <a:xfrm>
            <a:off x="817" y="1349"/>
            <a:ext cx="28" cy="18"/>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１</a:t>
            </a:r>
          </a:p>
        </xdr:txBody>
      </xdr:sp>
      <xdr:sp macro="" textlink="">
        <xdr:nvSpPr>
          <xdr:cNvPr id="44" name="Text Box 554"/>
          <xdr:cNvSpPr txBox="1">
            <a:spLocks noChangeArrowheads="1"/>
          </xdr:cNvSpPr>
        </xdr:nvSpPr>
        <xdr:spPr bwMode="auto">
          <a:xfrm>
            <a:off x="204" y="1247"/>
            <a:ext cx="95"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ACG</a:t>
            </a:r>
            <a:r>
              <a:rPr lang="en-US" altLang="ja-JP" sz="10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j</a:t>
            </a:r>
            <a:r>
              <a:rPr lang="el-GR" altLang="ja-JP" sz="900" b="1" i="0" u="none" strike="noStrike" baseline="0">
                <a:solidFill>
                  <a:srgbClr val="000000"/>
                </a:solidFill>
                <a:latin typeface="ＭＳ Ｐゴシック"/>
                <a:ea typeface="ＭＳ Ｐゴシック"/>
              </a:rPr>
              <a:t>ω</a:t>
            </a:r>
            <a:r>
              <a:rPr lang="ja-JP" altLang="en-US" sz="900" b="1" i="0" u="none" strike="noStrike" baseline="0">
                <a:solidFill>
                  <a:srgbClr val="000000"/>
                </a:solidFill>
                <a:latin typeface="ＭＳ Ｐゴシック"/>
                <a:ea typeface="ＭＳ Ｐゴシック"/>
              </a:rPr>
              <a:t>Ｌ</a:t>
            </a:r>
            <a:r>
              <a:rPr lang="en-US" altLang="ja-JP" sz="600" b="0" i="0" u="none" strike="noStrike" baseline="0">
                <a:solidFill>
                  <a:srgbClr val="000000"/>
                </a:solidFill>
                <a:latin typeface="ＭＳ Ｐゴシック"/>
                <a:ea typeface="ＭＳ Ｐゴシック"/>
              </a:rPr>
              <a:t>ACG</a:t>
            </a:r>
          </a:p>
        </xdr:txBody>
      </xdr:sp>
      <xdr:sp macro="" textlink="">
        <xdr:nvSpPr>
          <xdr:cNvPr id="45" name="Line 555"/>
          <xdr:cNvSpPr>
            <a:spLocks noChangeShapeType="1"/>
          </xdr:cNvSpPr>
        </xdr:nvSpPr>
        <xdr:spPr bwMode="auto">
          <a:xfrm>
            <a:off x="743" y="1424"/>
            <a:ext cx="104"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46" name="Text Box 556"/>
          <xdr:cNvSpPr txBox="1">
            <a:spLocks noChangeArrowheads="1"/>
          </xdr:cNvSpPr>
        </xdr:nvSpPr>
        <xdr:spPr bwMode="auto">
          <a:xfrm>
            <a:off x="771" y="1409"/>
            <a:ext cx="69"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Load-</a:t>
            </a:r>
            <a:r>
              <a:rPr lang="ja-JP" altLang="en-US" sz="800" b="0" i="0" u="none" strike="noStrike" baseline="0">
                <a:solidFill>
                  <a:srgbClr val="000000"/>
                </a:solidFill>
                <a:latin typeface="ＭＳ Ｐゴシック"/>
                <a:ea typeface="ＭＳ Ｐゴシック"/>
              </a:rPr>
              <a:t>１</a:t>
            </a:r>
          </a:p>
        </xdr:txBody>
      </xdr:sp>
      <xdr:sp macro="" textlink="">
        <xdr:nvSpPr>
          <xdr:cNvPr id="47" name="Line 557"/>
          <xdr:cNvSpPr>
            <a:spLocks noChangeShapeType="1"/>
          </xdr:cNvSpPr>
        </xdr:nvSpPr>
        <xdr:spPr bwMode="auto">
          <a:xfrm>
            <a:off x="177" y="1424"/>
            <a:ext cx="5" cy="2"/>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558"/>
          <xdr:cNvSpPr>
            <a:spLocks noChangeShapeType="1"/>
          </xdr:cNvSpPr>
        </xdr:nvSpPr>
        <xdr:spPr bwMode="auto">
          <a:xfrm flipV="1">
            <a:off x="177" y="1423"/>
            <a:ext cx="5" cy="1"/>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9" name="Line 559"/>
          <xdr:cNvSpPr>
            <a:spLocks noChangeShapeType="1"/>
          </xdr:cNvSpPr>
        </xdr:nvSpPr>
        <xdr:spPr bwMode="auto">
          <a:xfrm>
            <a:off x="842" y="1423"/>
            <a:ext cx="5" cy="1"/>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 name="Line 560"/>
          <xdr:cNvSpPr>
            <a:spLocks noChangeShapeType="1"/>
          </xdr:cNvSpPr>
        </xdr:nvSpPr>
        <xdr:spPr bwMode="auto">
          <a:xfrm flipV="1">
            <a:off x="842" y="1424"/>
            <a:ext cx="5" cy="2"/>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 name="Line 561"/>
          <xdr:cNvSpPr>
            <a:spLocks noChangeShapeType="1"/>
          </xdr:cNvSpPr>
        </xdr:nvSpPr>
        <xdr:spPr bwMode="auto">
          <a:xfrm>
            <a:off x="177" y="1424"/>
            <a:ext cx="146"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 name="Line 562"/>
          <xdr:cNvSpPr>
            <a:spLocks noChangeShapeType="1"/>
          </xdr:cNvSpPr>
        </xdr:nvSpPr>
        <xdr:spPr bwMode="auto">
          <a:xfrm>
            <a:off x="197" y="1179"/>
            <a:ext cx="0" cy="34"/>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3" name="Text Box 563"/>
          <xdr:cNvSpPr txBox="1">
            <a:spLocks noChangeArrowheads="1"/>
          </xdr:cNvSpPr>
        </xdr:nvSpPr>
        <xdr:spPr bwMode="auto">
          <a:xfrm>
            <a:off x="193" y="1161"/>
            <a:ext cx="41"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０２</a:t>
            </a:r>
          </a:p>
        </xdr:txBody>
      </xdr:sp>
      <xdr:sp macro="" textlink="" fLocksText="0">
        <xdr:nvSpPr>
          <xdr:cNvPr id="54" name="Text Box 564"/>
          <xdr:cNvSpPr txBox="1">
            <a:spLocks noChangeArrowheads="1"/>
          </xdr:cNvSpPr>
        </xdr:nvSpPr>
        <xdr:spPr bwMode="auto">
          <a:xfrm>
            <a:off x="538" y="1241"/>
            <a:ext cx="2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55" name="Text Box 565"/>
          <xdr:cNvSpPr txBox="1">
            <a:spLocks noChangeArrowheads="1"/>
          </xdr:cNvSpPr>
        </xdr:nvSpPr>
        <xdr:spPr bwMode="auto">
          <a:xfrm>
            <a:off x="541" y="1254"/>
            <a:ext cx="47"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en-US" altLang="ja-JP"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Ｌ２</a:t>
            </a:r>
          </a:p>
        </xdr:txBody>
      </xdr:sp>
      <xdr:sp macro="" textlink="">
        <xdr:nvSpPr>
          <xdr:cNvPr id="56" name="Text Box 566"/>
          <xdr:cNvSpPr txBox="1">
            <a:spLocks noChangeArrowheads="1"/>
          </xdr:cNvSpPr>
        </xdr:nvSpPr>
        <xdr:spPr bwMode="auto">
          <a:xfrm>
            <a:off x="566" y="1306"/>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57" name="Text Box 567"/>
          <xdr:cNvSpPr txBox="1">
            <a:spLocks noChangeArrowheads="1"/>
          </xdr:cNvSpPr>
        </xdr:nvSpPr>
        <xdr:spPr bwMode="auto">
          <a:xfrm>
            <a:off x="787" y="1161"/>
            <a:ext cx="4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１１</a:t>
            </a:r>
          </a:p>
        </xdr:txBody>
      </xdr:sp>
      <xdr:sp macro="" textlink="">
        <xdr:nvSpPr>
          <xdr:cNvPr id="58" name="Line 568"/>
          <xdr:cNvSpPr>
            <a:spLocks noChangeShapeType="1"/>
          </xdr:cNvSpPr>
        </xdr:nvSpPr>
        <xdr:spPr bwMode="auto">
          <a:xfrm>
            <a:off x="206" y="1240"/>
            <a:ext cx="16"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 name="Line 569"/>
          <xdr:cNvSpPr>
            <a:spLocks noChangeShapeType="1"/>
          </xdr:cNvSpPr>
        </xdr:nvSpPr>
        <xdr:spPr bwMode="auto">
          <a:xfrm>
            <a:off x="830" y="1203"/>
            <a:ext cx="0" cy="14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 name="Text Box 570"/>
          <xdr:cNvSpPr txBox="1">
            <a:spLocks noChangeArrowheads="1"/>
          </xdr:cNvSpPr>
        </xdr:nvSpPr>
        <xdr:spPr bwMode="auto">
          <a:xfrm>
            <a:off x="273" y="1197"/>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61" name="Text Box 571"/>
          <xdr:cNvSpPr txBox="1">
            <a:spLocks noChangeArrowheads="1"/>
          </xdr:cNvSpPr>
        </xdr:nvSpPr>
        <xdr:spPr bwMode="auto">
          <a:xfrm>
            <a:off x="154" y="1298"/>
            <a:ext cx="36"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Ｓ</a:t>
            </a:r>
          </a:p>
        </xdr:txBody>
      </xdr:sp>
      <xdr:sp macro="" textlink="">
        <xdr:nvSpPr>
          <xdr:cNvPr id="62" name="Line 572"/>
          <xdr:cNvSpPr>
            <a:spLocks noChangeShapeType="1"/>
          </xdr:cNvSpPr>
        </xdr:nvSpPr>
        <xdr:spPr bwMode="auto">
          <a:xfrm>
            <a:off x="574" y="1185"/>
            <a:ext cx="12"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3" name="Line 573"/>
          <xdr:cNvSpPr>
            <a:spLocks noChangeShapeType="1"/>
          </xdr:cNvSpPr>
        </xdr:nvSpPr>
        <xdr:spPr bwMode="auto">
          <a:xfrm>
            <a:off x="287" y="1179"/>
            <a:ext cx="0" cy="34"/>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4" name="Text Box 574"/>
          <xdr:cNvSpPr txBox="1">
            <a:spLocks noChangeArrowheads="1"/>
          </xdr:cNvSpPr>
        </xdr:nvSpPr>
        <xdr:spPr bwMode="auto">
          <a:xfrm>
            <a:off x="271" y="1161"/>
            <a:ext cx="43"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０１</a:t>
            </a:r>
          </a:p>
        </xdr:txBody>
      </xdr:sp>
      <xdr:sp macro="" textlink="">
        <xdr:nvSpPr>
          <xdr:cNvPr id="65" name="Line 575"/>
          <xdr:cNvSpPr>
            <a:spLocks noChangeShapeType="1"/>
          </xdr:cNvSpPr>
        </xdr:nvSpPr>
        <xdr:spPr bwMode="auto">
          <a:xfrm>
            <a:off x="557" y="1278"/>
            <a:ext cx="11"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6" name="Line 576"/>
          <xdr:cNvSpPr>
            <a:spLocks noChangeShapeType="1"/>
          </xdr:cNvSpPr>
        </xdr:nvSpPr>
        <xdr:spPr bwMode="auto">
          <a:xfrm>
            <a:off x="557" y="1278"/>
            <a:ext cx="0" cy="41"/>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7" name="Text Box 577"/>
          <xdr:cNvSpPr txBox="1">
            <a:spLocks noChangeArrowheads="1"/>
          </xdr:cNvSpPr>
        </xdr:nvSpPr>
        <xdr:spPr bwMode="auto">
          <a:xfrm>
            <a:off x="567" y="1269"/>
            <a:ext cx="36"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１</a:t>
            </a:r>
          </a:p>
        </xdr:txBody>
      </xdr:sp>
      <xdr:sp macro="" textlink="">
        <xdr:nvSpPr>
          <xdr:cNvPr id="68" name="Line 578"/>
          <xdr:cNvSpPr>
            <a:spLocks noChangeShapeType="1"/>
          </xdr:cNvSpPr>
        </xdr:nvSpPr>
        <xdr:spPr bwMode="auto">
          <a:xfrm>
            <a:off x="259" y="1240"/>
            <a:ext cx="21"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9" name="Text Box 579"/>
          <xdr:cNvSpPr txBox="1">
            <a:spLocks noChangeArrowheads="1"/>
          </xdr:cNvSpPr>
        </xdr:nvSpPr>
        <xdr:spPr bwMode="auto">
          <a:xfrm>
            <a:off x="468" y="1193"/>
            <a:ext cx="68" cy="1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－２１</a:t>
            </a:r>
          </a:p>
        </xdr:txBody>
      </xdr:sp>
      <xdr:sp macro="" textlink="">
        <xdr:nvSpPr>
          <xdr:cNvPr id="70" name="Line 580"/>
          <xdr:cNvSpPr>
            <a:spLocks noChangeShapeType="1"/>
          </xdr:cNvSpPr>
        </xdr:nvSpPr>
        <xdr:spPr bwMode="auto">
          <a:xfrm>
            <a:off x="536" y="1203"/>
            <a:ext cx="294"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 name="Line 581"/>
          <xdr:cNvSpPr>
            <a:spLocks noChangeShapeType="1"/>
          </xdr:cNvSpPr>
        </xdr:nvSpPr>
        <xdr:spPr bwMode="auto">
          <a:xfrm>
            <a:off x="322" y="1261"/>
            <a:ext cx="0" cy="2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2" name="Text Box 582"/>
          <xdr:cNvSpPr txBox="1">
            <a:spLocks noChangeArrowheads="1"/>
          </xdr:cNvSpPr>
        </xdr:nvSpPr>
        <xdr:spPr bwMode="auto">
          <a:xfrm>
            <a:off x="790" y="1197"/>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73" name="Line 583"/>
          <xdr:cNvSpPr>
            <a:spLocks noChangeShapeType="1"/>
          </xdr:cNvSpPr>
        </xdr:nvSpPr>
        <xdr:spPr bwMode="auto">
          <a:xfrm>
            <a:off x="537" y="1312"/>
            <a:ext cx="69"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4" name="Line 584"/>
          <xdr:cNvSpPr>
            <a:spLocks noChangeShapeType="1"/>
          </xdr:cNvSpPr>
        </xdr:nvSpPr>
        <xdr:spPr bwMode="auto">
          <a:xfrm>
            <a:off x="437" y="1243"/>
            <a:ext cx="0" cy="18"/>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5" name="Line 585"/>
          <xdr:cNvSpPr>
            <a:spLocks noChangeShapeType="1"/>
          </xdr:cNvSpPr>
        </xdr:nvSpPr>
        <xdr:spPr bwMode="auto">
          <a:xfrm>
            <a:off x="335" y="1243"/>
            <a:ext cx="6"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6" name="Text Box 586"/>
          <xdr:cNvSpPr txBox="1">
            <a:spLocks noChangeArrowheads="1"/>
          </xdr:cNvSpPr>
        </xdr:nvSpPr>
        <xdr:spPr bwMode="auto">
          <a:xfrm>
            <a:off x="468" y="1235"/>
            <a:ext cx="69" cy="18"/>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－２２</a:t>
            </a:r>
          </a:p>
        </xdr:txBody>
      </xdr:sp>
      <xdr:sp macro="" textlink="">
        <xdr:nvSpPr>
          <xdr:cNvPr id="77" name="Text Box 587"/>
          <xdr:cNvSpPr txBox="1">
            <a:spLocks noChangeArrowheads="1"/>
          </xdr:cNvSpPr>
        </xdr:nvSpPr>
        <xdr:spPr bwMode="auto">
          <a:xfrm>
            <a:off x="681" y="1237"/>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78" name="Line 588"/>
          <xdr:cNvSpPr>
            <a:spLocks noChangeShapeType="1"/>
          </xdr:cNvSpPr>
        </xdr:nvSpPr>
        <xdr:spPr bwMode="auto">
          <a:xfrm>
            <a:off x="537" y="1243"/>
            <a:ext cx="184"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9" name="Line 589"/>
          <xdr:cNvSpPr>
            <a:spLocks noChangeShapeType="1"/>
          </xdr:cNvSpPr>
        </xdr:nvSpPr>
        <xdr:spPr bwMode="auto">
          <a:xfrm>
            <a:off x="322" y="1261"/>
            <a:ext cx="11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0" name="Line 590"/>
          <xdr:cNvSpPr>
            <a:spLocks noChangeShapeType="1"/>
          </xdr:cNvSpPr>
        </xdr:nvSpPr>
        <xdr:spPr bwMode="auto">
          <a:xfrm>
            <a:off x="206" y="1203"/>
            <a:ext cx="0" cy="3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1" name="Line 591"/>
          <xdr:cNvSpPr>
            <a:spLocks noChangeShapeType="1"/>
          </xdr:cNvSpPr>
        </xdr:nvSpPr>
        <xdr:spPr bwMode="auto">
          <a:xfrm>
            <a:off x="437" y="1203"/>
            <a:ext cx="0" cy="19"/>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2" name="Line 592"/>
          <xdr:cNvSpPr>
            <a:spLocks noChangeShapeType="1"/>
          </xdr:cNvSpPr>
        </xdr:nvSpPr>
        <xdr:spPr bwMode="auto">
          <a:xfrm>
            <a:off x="335" y="1223"/>
            <a:ext cx="102"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3" name="Line 593"/>
          <xdr:cNvSpPr>
            <a:spLocks noChangeShapeType="1"/>
          </xdr:cNvSpPr>
        </xdr:nvSpPr>
        <xdr:spPr bwMode="auto">
          <a:xfrm>
            <a:off x="332" y="1171"/>
            <a:ext cx="11"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4" name="Line 594"/>
          <xdr:cNvSpPr>
            <a:spLocks noChangeShapeType="1"/>
          </xdr:cNvSpPr>
        </xdr:nvSpPr>
        <xdr:spPr bwMode="auto">
          <a:xfrm>
            <a:off x="332" y="1171"/>
            <a:ext cx="0" cy="42"/>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85" name="Text Box 595"/>
          <xdr:cNvSpPr txBox="1">
            <a:spLocks noChangeArrowheads="1"/>
          </xdr:cNvSpPr>
        </xdr:nvSpPr>
        <xdr:spPr bwMode="auto">
          <a:xfrm>
            <a:off x="586" y="1161"/>
            <a:ext cx="96"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１４</a:t>
            </a:r>
            <a:r>
              <a:rPr lang="ja-JP" altLang="en-US" sz="1000" b="1" i="0" u="none" strike="noStrike" baseline="0">
                <a:solidFill>
                  <a:srgbClr val="0000FF"/>
                </a:solidFill>
                <a:latin typeface="ＭＳ Ｐゴシック"/>
                <a:ea typeface="ＭＳ Ｐゴシック"/>
              </a:rPr>
              <a:t>’</a:t>
            </a:r>
            <a:r>
              <a:rPr lang="ja-JP" altLang="en-US" sz="1000" b="0" i="0" u="none" strike="noStrike" baseline="0">
                <a:solidFill>
                  <a:srgbClr val="0000FF"/>
                </a:solidFill>
                <a:latin typeface="ＭＳ 明朝"/>
                <a:ea typeface="ＭＳ 明朝"/>
              </a:rPr>
              <a:t>～</a:t>
            </a:r>
          </a:p>
        </xdr:txBody>
      </xdr:sp>
      <xdr:sp macro="" textlink="">
        <xdr:nvSpPr>
          <xdr:cNvPr id="86" name="Text Box 596"/>
          <xdr:cNvSpPr txBox="1">
            <a:spLocks noChangeArrowheads="1"/>
          </xdr:cNvSpPr>
        </xdr:nvSpPr>
        <xdr:spPr bwMode="auto">
          <a:xfrm>
            <a:off x="464" y="1174"/>
            <a:ext cx="95"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２</a:t>
            </a:r>
            <a:r>
              <a:rPr lang="en-US" altLang="ja-JP" sz="600" b="0" i="0" u="none" strike="noStrike" baseline="0">
                <a:solidFill>
                  <a:srgbClr val="000000"/>
                </a:solidFill>
                <a:latin typeface="ＭＳ Ｐゴシック"/>
                <a:ea typeface="ＭＳ Ｐゴシック"/>
              </a:rPr>
              <a:t>1</a:t>
            </a:r>
            <a:r>
              <a:rPr lang="en-US" altLang="ja-JP" sz="1000" b="0"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j</a:t>
            </a:r>
            <a:r>
              <a:rPr lang="el-GR" altLang="ja-JP" sz="900" b="1" i="0" u="none" strike="noStrike" baseline="0">
                <a:solidFill>
                  <a:srgbClr val="000000"/>
                </a:solidFill>
                <a:latin typeface="ＭＳ Ｐゴシック"/>
                <a:ea typeface="ＭＳ Ｐゴシック"/>
              </a:rPr>
              <a:t>ω</a:t>
            </a:r>
            <a:r>
              <a:rPr lang="ja-JP" altLang="en-US" sz="900" b="1" i="0" u="none" strike="noStrike" baseline="0">
                <a:solidFill>
                  <a:srgbClr val="000000"/>
                </a:solidFill>
                <a:latin typeface="ＭＳ Ｐゴシック"/>
                <a:ea typeface="ＭＳ Ｐゴシック"/>
              </a:rPr>
              <a:t>Ｌ</a:t>
            </a:r>
            <a:r>
              <a:rPr lang="en-US" altLang="ja-JP" sz="600" b="0"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２</a:t>
            </a:r>
            <a:r>
              <a:rPr lang="en-US" altLang="ja-JP" sz="600" b="0" i="0" u="none" strike="noStrike" baseline="0">
                <a:solidFill>
                  <a:srgbClr val="000000"/>
                </a:solidFill>
                <a:latin typeface="ＭＳ Ｐゴシック"/>
                <a:ea typeface="ＭＳ Ｐゴシック"/>
              </a:rPr>
              <a:t>1</a:t>
            </a:r>
          </a:p>
        </xdr:txBody>
      </xdr:sp>
      <xdr:sp macro="" textlink="" fLocksText="0">
        <xdr:nvSpPr>
          <xdr:cNvPr id="87" name="Text Box 597"/>
          <xdr:cNvSpPr txBox="1">
            <a:spLocks noChangeArrowheads="1"/>
          </xdr:cNvSpPr>
        </xdr:nvSpPr>
        <xdr:spPr bwMode="auto">
          <a:xfrm>
            <a:off x="676" y="1224"/>
            <a:ext cx="36"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Ｌ２</a:t>
            </a:r>
          </a:p>
        </xdr:txBody>
      </xdr:sp>
      <xdr:sp macro="" textlink="">
        <xdr:nvSpPr>
          <xdr:cNvPr id="88" name="Line 598"/>
          <xdr:cNvSpPr>
            <a:spLocks noChangeShapeType="1"/>
          </xdr:cNvSpPr>
        </xdr:nvSpPr>
        <xdr:spPr bwMode="auto">
          <a:xfrm flipV="1">
            <a:off x="431" y="1348"/>
            <a:ext cx="13" cy="4"/>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9" name="Line 599"/>
          <xdr:cNvSpPr>
            <a:spLocks noChangeShapeType="1"/>
          </xdr:cNvSpPr>
        </xdr:nvSpPr>
        <xdr:spPr bwMode="auto">
          <a:xfrm>
            <a:off x="322" y="1290"/>
            <a:ext cx="0" cy="2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90" name="Line 600"/>
          <xdr:cNvSpPr>
            <a:spLocks noChangeShapeType="1"/>
          </xdr:cNvSpPr>
        </xdr:nvSpPr>
        <xdr:spPr bwMode="auto">
          <a:xfrm>
            <a:off x="333" y="1278"/>
            <a:ext cx="12"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91" name="Line 601"/>
          <xdr:cNvSpPr>
            <a:spLocks noChangeShapeType="1"/>
          </xdr:cNvSpPr>
        </xdr:nvSpPr>
        <xdr:spPr bwMode="auto">
          <a:xfrm>
            <a:off x="333" y="1278"/>
            <a:ext cx="0" cy="41"/>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92" name="Text Box 602"/>
          <xdr:cNvSpPr txBox="1">
            <a:spLocks noChangeArrowheads="1"/>
          </xdr:cNvSpPr>
        </xdr:nvSpPr>
        <xdr:spPr bwMode="auto">
          <a:xfrm>
            <a:off x="344" y="1269"/>
            <a:ext cx="36"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４</a:t>
            </a:r>
          </a:p>
        </xdr:txBody>
      </xdr:sp>
      <xdr:sp macro="" textlink="">
        <xdr:nvSpPr>
          <xdr:cNvPr id="93" name="Line 603"/>
          <xdr:cNvSpPr>
            <a:spLocks noChangeShapeType="1"/>
          </xdr:cNvSpPr>
        </xdr:nvSpPr>
        <xdr:spPr bwMode="auto">
          <a:xfrm>
            <a:off x="423" y="1171"/>
            <a:ext cx="6"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94" name="Line 604"/>
          <xdr:cNvSpPr>
            <a:spLocks noChangeShapeType="1"/>
          </xdr:cNvSpPr>
        </xdr:nvSpPr>
        <xdr:spPr bwMode="auto">
          <a:xfrm>
            <a:off x="423" y="1171"/>
            <a:ext cx="0" cy="42"/>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95" name="Text Box 605"/>
          <xdr:cNvSpPr txBox="1">
            <a:spLocks noChangeArrowheads="1"/>
          </xdr:cNvSpPr>
        </xdr:nvSpPr>
        <xdr:spPr bwMode="auto">
          <a:xfrm>
            <a:off x="427" y="1161"/>
            <a:ext cx="48"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１３</a:t>
            </a:r>
          </a:p>
        </xdr:txBody>
      </xdr:sp>
      <xdr:sp macro="" textlink="">
        <xdr:nvSpPr>
          <xdr:cNvPr id="96" name="Line 606"/>
          <xdr:cNvSpPr>
            <a:spLocks noChangeShapeType="1"/>
          </xdr:cNvSpPr>
        </xdr:nvSpPr>
        <xdr:spPr bwMode="auto">
          <a:xfrm>
            <a:off x="423" y="1278"/>
            <a:ext cx="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97" name="Line 607"/>
          <xdr:cNvSpPr>
            <a:spLocks noChangeShapeType="1"/>
          </xdr:cNvSpPr>
        </xdr:nvSpPr>
        <xdr:spPr bwMode="auto">
          <a:xfrm>
            <a:off x="423" y="1278"/>
            <a:ext cx="0" cy="42"/>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98" name="Text Box 608"/>
          <xdr:cNvSpPr txBox="1">
            <a:spLocks noChangeArrowheads="1"/>
          </xdr:cNvSpPr>
        </xdr:nvSpPr>
        <xdr:spPr bwMode="auto">
          <a:xfrm>
            <a:off x="427" y="1269"/>
            <a:ext cx="36"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３</a:t>
            </a:r>
          </a:p>
        </xdr:txBody>
      </xdr:sp>
      <xdr:sp macro="" textlink="">
        <xdr:nvSpPr>
          <xdr:cNvPr id="99" name="Text Box 609"/>
          <xdr:cNvSpPr txBox="1">
            <a:spLocks noChangeArrowheads="1"/>
          </xdr:cNvSpPr>
        </xdr:nvSpPr>
        <xdr:spPr bwMode="auto">
          <a:xfrm>
            <a:off x="341" y="1303"/>
            <a:ext cx="70" cy="1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－１</a:t>
            </a:r>
            <a:r>
              <a:rPr lang="ja-JP" altLang="en-US" sz="800" b="0" i="0" u="none" strike="noStrike" baseline="0">
                <a:solidFill>
                  <a:srgbClr val="000000"/>
                </a:solidFill>
                <a:latin typeface="ＭＳ Ｐゴシック"/>
                <a:ea typeface="ＭＳ Ｐゴシック"/>
              </a:rPr>
              <a:t>ｎ</a:t>
            </a:r>
          </a:p>
        </xdr:txBody>
      </xdr:sp>
      <xdr:sp macro="" textlink="">
        <xdr:nvSpPr>
          <xdr:cNvPr id="100" name="Text Box 610"/>
          <xdr:cNvSpPr txBox="1">
            <a:spLocks noChangeArrowheads="1"/>
          </xdr:cNvSpPr>
        </xdr:nvSpPr>
        <xdr:spPr bwMode="auto">
          <a:xfrm>
            <a:off x="341" y="1193"/>
            <a:ext cx="69" cy="1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－１１</a:t>
            </a:r>
          </a:p>
        </xdr:txBody>
      </xdr:sp>
      <xdr:sp macro="" textlink="">
        <xdr:nvSpPr>
          <xdr:cNvPr id="101" name="Text Box 611"/>
          <xdr:cNvSpPr txBox="1">
            <a:spLocks noChangeArrowheads="1"/>
          </xdr:cNvSpPr>
        </xdr:nvSpPr>
        <xdr:spPr bwMode="auto">
          <a:xfrm>
            <a:off x="341" y="1235"/>
            <a:ext cx="70" cy="18"/>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－１２</a:t>
            </a:r>
          </a:p>
        </xdr:txBody>
      </xdr:sp>
      <xdr:sp macro="" textlink="">
        <xdr:nvSpPr>
          <xdr:cNvPr id="102" name="Line 612"/>
          <xdr:cNvSpPr>
            <a:spLocks noChangeShapeType="1"/>
          </xdr:cNvSpPr>
        </xdr:nvSpPr>
        <xdr:spPr bwMode="auto">
          <a:xfrm>
            <a:off x="412" y="1312"/>
            <a:ext cx="56"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03" name="Line 613"/>
          <xdr:cNvSpPr>
            <a:spLocks noChangeShapeType="1"/>
          </xdr:cNvSpPr>
        </xdr:nvSpPr>
        <xdr:spPr bwMode="auto">
          <a:xfrm>
            <a:off x="301" y="1361"/>
            <a:ext cx="0" cy="3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04" name="Line 614"/>
          <xdr:cNvSpPr>
            <a:spLocks noChangeShapeType="1"/>
          </xdr:cNvSpPr>
        </xdr:nvSpPr>
        <xdr:spPr bwMode="auto">
          <a:xfrm>
            <a:off x="301" y="1153"/>
            <a:ext cx="0" cy="20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05" name="Text Box 615"/>
          <xdr:cNvSpPr txBox="1">
            <a:spLocks noChangeArrowheads="1"/>
          </xdr:cNvSpPr>
        </xdr:nvSpPr>
        <xdr:spPr bwMode="auto">
          <a:xfrm>
            <a:off x="190" y="1265"/>
            <a:ext cx="25"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106" name="Text Box 616"/>
          <xdr:cNvSpPr txBox="1">
            <a:spLocks noChangeArrowheads="1"/>
          </xdr:cNvSpPr>
        </xdr:nvSpPr>
        <xdr:spPr bwMode="auto">
          <a:xfrm>
            <a:off x="203" y="1269"/>
            <a:ext cx="45"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０２</a:t>
            </a:r>
          </a:p>
        </xdr:txBody>
      </xdr:sp>
      <xdr:sp macro="" textlink="">
        <xdr:nvSpPr>
          <xdr:cNvPr id="107" name="Text Box 617"/>
          <xdr:cNvSpPr txBox="1">
            <a:spLocks noChangeArrowheads="1"/>
          </xdr:cNvSpPr>
        </xdr:nvSpPr>
        <xdr:spPr bwMode="auto">
          <a:xfrm>
            <a:off x="336" y="1284"/>
            <a:ext cx="95"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C1</a:t>
            </a:r>
            <a:r>
              <a:rPr lang="ja-JP" altLang="en-US" sz="800" b="0" i="0" u="none" strike="noStrike" baseline="0">
                <a:solidFill>
                  <a:srgbClr val="000000"/>
                </a:solidFill>
                <a:latin typeface="ＭＳ Ｐゴシック"/>
                <a:ea typeface="ＭＳ Ｐゴシック"/>
              </a:rPr>
              <a:t>ｎ</a:t>
            </a:r>
            <a:r>
              <a:rPr lang="ja-JP" altLang="en-US" sz="1000" b="0"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j</a:t>
            </a:r>
            <a:r>
              <a:rPr lang="el-GR" altLang="ja-JP" sz="900" b="1" i="0" u="none" strike="noStrike" baseline="0">
                <a:solidFill>
                  <a:srgbClr val="000000"/>
                </a:solidFill>
                <a:latin typeface="ＭＳ Ｐゴシック"/>
                <a:ea typeface="ＭＳ Ｐゴシック"/>
              </a:rPr>
              <a:t>ω</a:t>
            </a:r>
            <a:r>
              <a:rPr lang="ja-JP" altLang="en-US" sz="900" b="1" i="0" u="none" strike="noStrike" baseline="0">
                <a:solidFill>
                  <a:srgbClr val="000000"/>
                </a:solidFill>
                <a:latin typeface="ＭＳ Ｐゴシック"/>
                <a:ea typeface="ＭＳ Ｐゴシック"/>
              </a:rPr>
              <a:t>Ｌ</a:t>
            </a:r>
            <a:r>
              <a:rPr lang="en-US" altLang="ja-JP" sz="600" b="0" i="0" u="none" strike="noStrike" baseline="0">
                <a:solidFill>
                  <a:srgbClr val="000000"/>
                </a:solidFill>
                <a:latin typeface="ＭＳ Ｐゴシック"/>
                <a:ea typeface="ＭＳ Ｐゴシック"/>
              </a:rPr>
              <a:t>C1</a:t>
            </a:r>
            <a:r>
              <a:rPr lang="ja-JP" altLang="en-US" sz="800" b="0" i="0" u="none" strike="noStrike" baseline="0">
                <a:solidFill>
                  <a:srgbClr val="000000"/>
                </a:solidFill>
                <a:latin typeface="ＭＳ Ｐゴシック"/>
                <a:ea typeface="ＭＳ Ｐゴシック"/>
              </a:rPr>
              <a:t>ｎ</a:t>
            </a:r>
          </a:p>
        </xdr:txBody>
      </xdr:sp>
      <xdr:sp macro="" textlink="">
        <xdr:nvSpPr>
          <xdr:cNvPr id="108" name="Text Box 618"/>
          <xdr:cNvSpPr txBox="1">
            <a:spLocks noChangeArrowheads="1"/>
          </xdr:cNvSpPr>
        </xdr:nvSpPr>
        <xdr:spPr bwMode="auto">
          <a:xfrm>
            <a:off x="336" y="1174"/>
            <a:ext cx="95"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C11</a:t>
            </a:r>
            <a:r>
              <a:rPr lang="en-US" altLang="ja-JP" sz="1000" b="0"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j</a:t>
            </a:r>
            <a:r>
              <a:rPr lang="el-GR" altLang="ja-JP" sz="900" b="1" i="0" u="none" strike="noStrike" baseline="0">
                <a:solidFill>
                  <a:srgbClr val="000000"/>
                </a:solidFill>
                <a:latin typeface="ＭＳ Ｐゴシック"/>
                <a:ea typeface="ＭＳ Ｐゴシック"/>
              </a:rPr>
              <a:t>ω</a:t>
            </a:r>
            <a:r>
              <a:rPr lang="ja-JP" altLang="en-US" sz="900" b="1" i="0" u="none" strike="noStrike" baseline="0">
                <a:solidFill>
                  <a:srgbClr val="000000"/>
                </a:solidFill>
                <a:latin typeface="ＭＳ Ｐゴシック"/>
                <a:ea typeface="ＭＳ Ｐゴシック"/>
              </a:rPr>
              <a:t>Ｌ</a:t>
            </a:r>
            <a:r>
              <a:rPr lang="en-US" altLang="ja-JP" sz="600" b="0" i="0" u="none" strike="noStrike" baseline="0">
                <a:solidFill>
                  <a:srgbClr val="000000"/>
                </a:solidFill>
                <a:latin typeface="ＭＳ Ｐゴシック"/>
                <a:ea typeface="ＭＳ Ｐゴシック"/>
              </a:rPr>
              <a:t>C11</a:t>
            </a:r>
          </a:p>
        </xdr:txBody>
      </xdr:sp>
      <xdr:sp macro="" textlink="" fLocksText="0">
        <xdr:nvSpPr>
          <xdr:cNvPr id="109" name="Text Box 619"/>
          <xdr:cNvSpPr txBox="1">
            <a:spLocks noChangeArrowheads="1"/>
          </xdr:cNvSpPr>
        </xdr:nvSpPr>
        <xdr:spPr bwMode="auto">
          <a:xfrm>
            <a:off x="267" y="1357"/>
            <a:ext cx="21" cy="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ＪＳゴシック"/>
              </a:rPr>
              <a:t>1</a:t>
            </a:r>
          </a:p>
        </xdr:txBody>
      </xdr:sp>
      <xdr:sp macro="" textlink="" fLocksText="0">
        <xdr:nvSpPr>
          <xdr:cNvPr id="110" name="Text Box 620"/>
          <xdr:cNvSpPr txBox="1">
            <a:spLocks noChangeArrowheads="1"/>
          </xdr:cNvSpPr>
        </xdr:nvSpPr>
        <xdr:spPr bwMode="auto">
          <a:xfrm>
            <a:off x="252" y="1368"/>
            <a:ext cx="59"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j</a:t>
            </a:r>
            <a:r>
              <a:rPr lang="el-GR" altLang="ja-JP" sz="1000" b="1" i="0" u="none" strike="noStrike" baseline="0">
                <a:solidFill>
                  <a:srgbClr val="000000"/>
                </a:solidFill>
                <a:latin typeface="ＭＳ Ｐゴシック"/>
                <a:ea typeface="ＭＳ Ｐゴシック"/>
              </a:rPr>
              <a:t>ω</a:t>
            </a:r>
            <a:r>
              <a:rPr lang="en-US" altLang="ja-JP" sz="1000" b="1"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Ｒ</a:t>
            </a:r>
          </a:p>
        </xdr:txBody>
      </xdr:sp>
      <xdr:sp macro="" textlink="">
        <xdr:nvSpPr>
          <xdr:cNvPr id="111" name="Line 621"/>
          <xdr:cNvSpPr>
            <a:spLocks noChangeShapeType="1"/>
          </xdr:cNvSpPr>
        </xdr:nvSpPr>
        <xdr:spPr bwMode="auto">
          <a:xfrm>
            <a:off x="258" y="1372"/>
            <a:ext cx="36"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12" name="Line 622"/>
          <xdr:cNvSpPr>
            <a:spLocks noChangeShapeType="1"/>
          </xdr:cNvSpPr>
        </xdr:nvSpPr>
        <xdr:spPr bwMode="auto">
          <a:xfrm>
            <a:off x="292" y="1355"/>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13" name="Line 623"/>
          <xdr:cNvSpPr>
            <a:spLocks noChangeShapeType="1"/>
          </xdr:cNvSpPr>
        </xdr:nvSpPr>
        <xdr:spPr bwMode="auto">
          <a:xfrm>
            <a:off x="292" y="1361"/>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14" name="Text Box 624"/>
          <xdr:cNvSpPr txBox="1">
            <a:spLocks noChangeArrowheads="1"/>
          </xdr:cNvSpPr>
        </xdr:nvSpPr>
        <xdr:spPr bwMode="auto">
          <a:xfrm>
            <a:off x="222" y="1230"/>
            <a:ext cx="37" cy="19"/>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en-US" altLang="ja-JP" sz="1000" b="1" i="0" u="none" strike="noStrike" baseline="0">
                <a:solidFill>
                  <a:srgbClr val="000000"/>
                </a:solidFill>
                <a:latin typeface="ＭＳ Ｐゴシック"/>
                <a:ea typeface="ＭＳ Ｐゴシック"/>
              </a:rPr>
              <a:t>ACG</a:t>
            </a:r>
          </a:p>
        </xdr:txBody>
      </xdr:sp>
      <xdr:sp macro="" textlink="">
        <xdr:nvSpPr>
          <xdr:cNvPr id="115" name="Line 625"/>
          <xdr:cNvSpPr>
            <a:spLocks noChangeShapeType="1"/>
          </xdr:cNvSpPr>
        </xdr:nvSpPr>
        <xdr:spPr bwMode="auto">
          <a:xfrm>
            <a:off x="797" y="1361"/>
            <a:ext cx="0" cy="3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16" name="Line 626"/>
          <xdr:cNvSpPr>
            <a:spLocks noChangeShapeType="1"/>
          </xdr:cNvSpPr>
        </xdr:nvSpPr>
        <xdr:spPr bwMode="auto">
          <a:xfrm>
            <a:off x="797" y="1203"/>
            <a:ext cx="0" cy="15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17" name="Line 627"/>
          <xdr:cNvSpPr>
            <a:spLocks noChangeShapeType="1"/>
          </xdr:cNvSpPr>
        </xdr:nvSpPr>
        <xdr:spPr bwMode="auto">
          <a:xfrm>
            <a:off x="564" y="1355"/>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18" name="Line 628"/>
          <xdr:cNvSpPr>
            <a:spLocks noChangeShapeType="1"/>
          </xdr:cNvSpPr>
        </xdr:nvSpPr>
        <xdr:spPr bwMode="auto">
          <a:xfrm>
            <a:off x="606" y="1368"/>
            <a:ext cx="0" cy="2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19" name="Text Box 629"/>
          <xdr:cNvSpPr txBox="1">
            <a:spLocks noChangeArrowheads="1"/>
          </xdr:cNvSpPr>
        </xdr:nvSpPr>
        <xdr:spPr bwMode="auto">
          <a:xfrm>
            <a:off x="541" y="1357"/>
            <a:ext cx="21" cy="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ＪＳゴシック"/>
              </a:rPr>
              <a:t>1</a:t>
            </a:r>
          </a:p>
        </xdr:txBody>
      </xdr:sp>
      <xdr:sp macro="" textlink="" fLocksText="0">
        <xdr:nvSpPr>
          <xdr:cNvPr id="120" name="Text Box 630"/>
          <xdr:cNvSpPr txBox="1">
            <a:spLocks noChangeArrowheads="1"/>
          </xdr:cNvSpPr>
        </xdr:nvSpPr>
        <xdr:spPr bwMode="auto">
          <a:xfrm>
            <a:off x="520" y="1368"/>
            <a:ext cx="57"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j</a:t>
            </a:r>
            <a:r>
              <a:rPr lang="el-GR" altLang="ja-JP" sz="1000" b="1" i="0" u="none" strike="noStrike" baseline="0">
                <a:solidFill>
                  <a:srgbClr val="000000"/>
                </a:solidFill>
                <a:latin typeface="ＭＳ Ｐゴシック"/>
                <a:ea typeface="ＭＳ Ｐゴシック"/>
              </a:rPr>
              <a:t>ω</a:t>
            </a:r>
            <a:r>
              <a:rPr lang="en-US" altLang="ja-JP" sz="1000" b="1"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Ｌ</a:t>
            </a:r>
            <a:r>
              <a:rPr lang="ja-JP" altLang="en-US" sz="800" b="0" i="0" u="none" strike="noStrike" baseline="0">
                <a:solidFill>
                  <a:srgbClr val="000000"/>
                </a:solidFill>
                <a:latin typeface="ＭＳ Ｐゴシック"/>
                <a:ea typeface="ＭＳ Ｐゴシック"/>
              </a:rPr>
              <a:t>ｎ</a:t>
            </a:r>
          </a:p>
        </xdr:txBody>
      </xdr:sp>
      <xdr:sp macro="" textlink="">
        <xdr:nvSpPr>
          <xdr:cNvPr id="121" name="Line 631"/>
          <xdr:cNvSpPr>
            <a:spLocks noChangeShapeType="1"/>
          </xdr:cNvSpPr>
        </xdr:nvSpPr>
        <xdr:spPr bwMode="auto">
          <a:xfrm>
            <a:off x="527" y="1372"/>
            <a:ext cx="42"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22" name="Line 632"/>
          <xdr:cNvSpPr>
            <a:spLocks noChangeShapeType="1"/>
          </xdr:cNvSpPr>
        </xdr:nvSpPr>
        <xdr:spPr bwMode="auto">
          <a:xfrm>
            <a:off x="564" y="1361"/>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23" name="Text Box 633"/>
          <xdr:cNvSpPr txBox="1">
            <a:spLocks noChangeArrowheads="1"/>
          </xdr:cNvSpPr>
        </xdr:nvSpPr>
        <xdr:spPr bwMode="auto">
          <a:xfrm>
            <a:off x="593" y="1349"/>
            <a:ext cx="28" cy="18"/>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Ｌ</a:t>
            </a:r>
            <a:r>
              <a:rPr lang="ja-JP" altLang="en-US" sz="800" b="0" i="0" u="none" strike="noStrike" baseline="0">
                <a:solidFill>
                  <a:srgbClr val="000000"/>
                </a:solidFill>
                <a:latin typeface="ＭＳ Ｐゴシック"/>
                <a:ea typeface="ＭＳ Ｐゴシック"/>
              </a:rPr>
              <a:t>ｎ</a:t>
            </a:r>
          </a:p>
        </xdr:txBody>
      </xdr:sp>
      <xdr:sp macro="" textlink="">
        <xdr:nvSpPr>
          <xdr:cNvPr id="124" name="Line 634"/>
          <xdr:cNvSpPr>
            <a:spLocks noChangeShapeType="1"/>
          </xdr:cNvSpPr>
        </xdr:nvSpPr>
        <xdr:spPr bwMode="auto">
          <a:xfrm>
            <a:off x="606" y="1312"/>
            <a:ext cx="0" cy="3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25" name="Line 635"/>
          <xdr:cNvSpPr>
            <a:spLocks noChangeShapeType="1"/>
          </xdr:cNvSpPr>
        </xdr:nvSpPr>
        <xdr:spPr bwMode="auto">
          <a:xfrm>
            <a:off x="573" y="1361"/>
            <a:ext cx="0" cy="3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26" name="Line 636"/>
          <xdr:cNvSpPr>
            <a:spLocks noChangeShapeType="1"/>
          </xdr:cNvSpPr>
        </xdr:nvSpPr>
        <xdr:spPr bwMode="auto">
          <a:xfrm>
            <a:off x="573" y="1312"/>
            <a:ext cx="0" cy="43"/>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27" name="Line 637"/>
          <xdr:cNvSpPr>
            <a:spLocks noChangeShapeType="1"/>
          </xdr:cNvSpPr>
        </xdr:nvSpPr>
        <xdr:spPr bwMode="auto">
          <a:xfrm>
            <a:off x="679" y="1355"/>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28" name="Line 638"/>
          <xdr:cNvSpPr>
            <a:spLocks noChangeShapeType="1"/>
          </xdr:cNvSpPr>
        </xdr:nvSpPr>
        <xdr:spPr bwMode="auto">
          <a:xfrm>
            <a:off x="721" y="1368"/>
            <a:ext cx="0" cy="2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29" name="Text Box 639"/>
          <xdr:cNvSpPr txBox="1">
            <a:spLocks noChangeArrowheads="1"/>
          </xdr:cNvSpPr>
        </xdr:nvSpPr>
        <xdr:spPr bwMode="auto">
          <a:xfrm>
            <a:off x="656" y="1357"/>
            <a:ext cx="21" cy="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ＪＳゴシック"/>
              </a:rPr>
              <a:t>1</a:t>
            </a:r>
          </a:p>
        </xdr:txBody>
      </xdr:sp>
      <xdr:sp macro="" textlink="" fLocksText="0">
        <xdr:nvSpPr>
          <xdr:cNvPr id="130" name="Text Box 640"/>
          <xdr:cNvSpPr txBox="1">
            <a:spLocks noChangeArrowheads="1"/>
          </xdr:cNvSpPr>
        </xdr:nvSpPr>
        <xdr:spPr bwMode="auto">
          <a:xfrm>
            <a:off x="635" y="1368"/>
            <a:ext cx="58"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j</a:t>
            </a:r>
            <a:r>
              <a:rPr lang="el-GR" altLang="ja-JP" sz="1000" b="1" i="0" u="none" strike="noStrike" baseline="0">
                <a:solidFill>
                  <a:srgbClr val="000000"/>
                </a:solidFill>
                <a:latin typeface="ＭＳ Ｐゴシック"/>
                <a:ea typeface="ＭＳ Ｐゴシック"/>
              </a:rPr>
              <a:t>ω</a:t>
            </a:r>
            <a:r>
              <a:rPr lang="en-US" altLang="ja-JP" sz="1000" b="1"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Ｌ２</a:t>
            </a:r>
          </a:p>
        </xdr:txBody>
      </xdr:sp>
      <xdr:sp macro="" textlink="">
        <xdr:nvSpPr>
          <xdr:cNvPr id="131" name="Line 641"/>
          <xdr:cNvSpPr>
            <a:spLocks noChangeShapeType="1"/>
          </xdr:cNvSpPr>
        </xdr:nvSpPr>
        <xdr:spPr bwMode="auto">
          <a:xfrm>
            <a:off x="642" y="1372"/>
            <a:ext cx="42"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32" name="Line 642"/>
          <xdr:cNvSpPr>
            <a:spLocks noChangeShapeType="1"/>
          </xdr:cNvSpPr>
        </xdr:nvSpPr>
        <xdr:spPr bwMode="auto">
          <a:xfrm>
            <a:off x="679" y="1361"/>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33" name="Text Box 643"/>
          <xdr:cNvSpPr txBox="1">
            <a:spLocks noChangeArrowheads="1"/>
          </xdr:cNvSpPr>
        </xdr:nvSpPr>
        <xdr:spPr bwMode="auto">
          <a:xfrm>
            <a:off x="708" y="1349"/>
            <a:ext cx="28" cy="18"/>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２</a:t>
            </a:r>
          </a:p>
        </xdr:txBody>
      </xdr:sp>
      <xdr:sp macro="" textlink="">
        <xdr:nvSpPr>
          <xdr:cNvPr id="134" name="Line 644"/>
          <xdr:cNvSpPr>
            <a:spLocks noChangeShapeType="1"/>
          </xdr:cNvSpPr>
        </xdr:nvSpPr>
        <xdr:spPr bwMode="auto">
          <a:xfrm>
            <a:off x="721" y="1243"/>
            <a:ext cx="0" cy="10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35" name="Line 645"/>
          <xdr:cNvSpPr>
            <a:spLocks noChangeShapeType="1"/>
          </xdr:cNvSpPr>
        </xdr:nvSpPr>
        <xdr:spPr bwMode="auto">
          <a:xfrm>
            <a:off x="688" y="1361"/>
            <a:ext cx="0" cy="3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36" name="Line 646"/>
          <xdr:cNvSpPr>
            <a:spLocks noChangeShapeType="1"/>
          </xdr:cNvSpPr>
        </xdr:nvSpPr>
        <xdr:spPr bwMode="auto">
          <a:xfrm>
            <a:off x="688" y="1243"/>
            <a:ext cx="0" cy="11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37" name="Line 647"/>
          <xdr:cNvSpPr>
            <a:spLocks noChangeShapeType="1"/>
          </xdr:cNvSpPr>
        </xdr:nvSpPr>
        <xdr:spPr bwMode="auto">
          <a:xfrm>
            <a:off x="410" y="1203"/>
            <a:ext cx="5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38" name="Line 648"/>
          <xdr:cNvSpPr>
            <a:spLocks noChangeShapeType="1"/>
          </xdr:cNvSpPr>
        </xdr:nvSpPr>
        <xdr:spPr bwMode="auto">
          <a:xfrm>
            <a:off x="412" y="1243"/>
            <a:ext cx="56"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39" name="Text Box 649"/>
          <xdr:cNvSpPr txBox="1">
            <a:spLocks noChangeArrowheads="1"/>
          </xdr:cNvSpPr>
        </xdr:nvSpPr>
        <xdr:spPr bwMode="auto">
          <a:xfrm>
            <a:off x="425" y="1293"/>
            <a:ext cx="36"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Ｂ</a:t>
            </a:r>
            <a:r>
              <a:rPr lang="ja-JP" altLang="en-US" sz="800" b="0" i="0" u="none" strike="noStrike" baseline="0">
                <a:solidFill>
                  <a:srgbClr val="FF0000"/>
                </a:solidFill>
                <a:latin typeface="ＭＳ Ｐゴシック"/>
                <a:ea typeface="ＭＳ Ｐゴシック"/>
              </a:rPr>
              <a:t>ｎ</a:t>
            </a:r>
          </a:p>
        </xdr:txBody>
      </xdr:sp>
      <xdr:sp macro="" textlink="">
        <xdr:nvSpPr>
          <xdr:cNvPr id="140" name="Text Box 650"/>
          <xdr:cNvSpPr txBox="1">
            <a:spLocks noChangeArrowheads="1"/>
          </xdr:cNvSpPr>
        </xdr:nvSpPr>
        <xdr:spPr bwMode="auto">
          <a:xfrm>
            <a:off x="430" y="1306"/>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141" name="Text Box 651"/>
          <xdr:cNvSpPr txBox="1">
            <a:spLocks noChangeArrowheads="1"/>
          </xdr:cNvSpPr>
        </xdr:nvSpPr>
        <xdr:spPr bwMode="auto">
          <a:xfrm>
            <a:off x="305" y="1199"/>
            <a:ext cx="2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142" name="Text Box 652"/>
          <xdr:cNvSpPr txBox="1">
            <a:spLocks noChangeArrowheads="1"/>
          </xdr:cNvSpPr>
        </xdr:nvSpPr>
        <xdr:spPr bwMode="auto">
          <a:xfrm>
            <a:off x="305" y="1212"/>
            <a:ext cx="30"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en-US" altLang="ja-JP"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０１</a:t>
            </a:r>
          </a:p>
        </xdr:txBody>
      </xdr:sp>
      <xdr:sp macro="" textlink="">
        <xdr:nvSpPr>
          <xdr:cNvPr id="143" name="Line 653"/>
          <xdr:cNvSpPr>
            <a:spLocks noChangeShapeType="1"/>
          </xdr:cNvSpPr>
        </xdr:nvSpPr>
        <xdr:spPr bwMode="auto">
          <a:xfrm>
            <a:off x="458" y="1278"/>
            <a:ext cx="11"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44" name="Line 654"/>
          <xdr:cNvSpPr>
            <a:spLocks noChangeShapeType="1"/>
          </xdr:cNvSpPr>
        </xdr:nvSpPr>
        <xdr:spPr bwMode="auto">
          <a:xfrm>
            <a:off x="458" y="1278"/>
            <a:ext cx="0" cy="42"/>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45" name="Text Box 655"/>
          <xdr:cNvSpPr txBox="1">
            <a:spLocks noChangeArrowheads="1"/>
          </xdr:cNvSpPr>
        </xdr:nvSpPr>
        <xdr:spPr bwMode="auto">
          <a:xfrm>
            <a:off x="468" y="1269"/>
            <a:ext cx="36"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２</a:t>
            </a:r>
          </a:p>
        </xdr:txBody>
      </xdr:sp>
      <xdr:sp macro="" textlink="">
        <xdr:nvSpPr>
          <xdr:cNvPr id="146" name="Text Box 656"/>
          <xdr:cNvSpPr txBox="1">
            <a:spLocks noChangeArrowheads="1"/>
          </xdr:cNvSpPr>
        </xdr:nvSpPr>
        <xdr:spPr bwMode="auto">
          <a:xfrm>
            <a:off x="430" y="1197"/>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147" name="Text Box 657"/>
          <xdr:cNvSpPr txBox="1">
            <a:spLocks noChangeArrowheads="1"/>
          </xdr:cNvSpPr>
        </xdr:nvSpPr>
        <xdr:spPr bwMode="auto">
          <a:xfrm>
            <a:off x="430" y="1237"/>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148" name="Text Box 658"/>
          <xdr:cNvSpPr txBox="1">
            <a:spLocks noChangeArrowheads="1"/>
          </xdr:cNvSpPr>
        </xdr:nvSpPr>
        <xdr:spPr bwMode="auto">
          <a:xfrm>
            <a:off x="425" y="1184"/>
            <a:ext cx="4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Ｂ１</a:t>
            </a:r>
          </a:p>
        </xdr:txBody>
      </xdr:sp>
      <xdr:sp macro="" textlink="" fLocksText="0">
        <xdr:nvSpPr>
          <xdr:cNvPr id="149" name="Text Box 659"/>
          <xdr:cNvSpPr txBox="1">
            <a:spLocks noChangeArrowheads="1"/>
          </xdr:cNvSpPr>
        </xdr:nvSpPr>
        <xdr:spPr bwMode="auto">
          <a:xfrm>
            <a:off x="785" y="1184"/>
            <a:ext cx="48" cy="1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Ｌ１</a:t>
            </a:r>
          </a:p>
        </xdr:txBody>
      </xdr:sp>
      <xdr:sp macro="" textlink="" fLocksText="0">
        <xdr:nvSpPr>
          <xdr:cNvPr id="150" name="Text Box 660"/>
          <xdr:cNvSpPr txBox="1">
            <a:spLocks noChangeArrowheads="1"/>
          </xdr:cNvSpPr>
        </xdr:nvSpPr>
        <xdr:spPr bwMode="auto">
          <a:xfrm>
            <a:off x="538" y="1201"/>
            <a:ext cx="2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151" name="Text Box 661"/>
          <xdr:cNvSpPr txBox="1">
            <a:spLocks noChangeArrowheads="1"/>
          </xdr:cNvSpPr>
        </xdr:nvSpPr>
        <xdr:spPr bwMode="auto">
          <a:xfrm>
            <a:off x="541" y="1214"/>
            <a:ext cx="44"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en-US" altLang="ja-JP"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Ｌ１</a:t>
            </a:r>
          </a:p>
        </xdr:txBody>
      </xdr:sp>
      <xdr:sp macro="" textlink="" fLocksText="0">
        <xdr:nvSpPr>
          <xdr:cNvPr id="152" name="Text Box 662"/>
          <xdr:cNvSpPr txBox="1">
            <a:spLocks noChangeArrowheads="1"/>
          </xdr:cNvSpPr>
        </xdr:nvSpPr>
        <xdr:spPr bwMode="auto">
          <a:xfrm>
            <a:off x="538" y="1310"/>
            <a:ext cx="2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153" name="Text Box 663"/>
          <xdr:cNvSpPr txBox="1">
            <a:spLocks noChangeArrowheads="1"/>
          </xdr:cNvSpPr>
        </xdr:nvSpPr>
        <xdr:spPr bwMode="auto">
          <a:xfrm>
            <a:off x="541" y="1322"/>
            <a:ext cx="43"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en-US" altLang="ja-JP"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Ｌ</a:t>
            </a:r>
            <a:r>
              <a:rPr lang="ja-JP" altLang="en-US" sz="800" b="0" i="0" u="none" strike="noStrike" baseline="0">
                <a:solidFill>
                  <a:srgbClr val="339966"/>
                </a:solidFill>
                <a:latin typeface="ＭＳ Ｐゴシック"/>
                <a:ea typeface="ＭＳ Ｐゴシック"/>
              </a:rPr>
              <a:t>ｎ</a:t>
            </a:r>
          </a:p>
        </xdr:txBody>
      </xdr:sp>
      <xdr:sp macro="" textlink="">
        <xdr:nvSpPr>
          <xdr:cNvPr id="154" name="Line 664"/>
          <xdr:cNvSpPr>
            <a:spLocks noChangeShapeType="1"/>
          </xdr:cNvSpPr>
        </xdr:nvSpPr>
        <xdr:spPr bwMode="auto">
          <a:xfrm>
            <a:off x="458" y="1171"/>
            <a:ext cx="10"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55" name="Line 665"/>
          <xdr:cNvSpPr>
            <a:spLocks noChangeShapeType="1"/>
          </xdr:cNvSpPr>
        </xdr:nvSpPr>
        <xdr:spPr bwMode="auto">
          <a:xfrm>
            <a:off x="574" y="1146"/>
            <a:ext cx="0" cy="38"/>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56" name="Text Box 666"/>
          <xdr:cNvSpPr txBox="1">
            <a:spLocks noChangeArrowheads="1"/>
          </xdr:cNvSpPr>
        </xdr:nvSpPr>
        <xdr:spPr bwMode="auto">
          <a:xfrm>
            <a:off x="468" y="1161"/>
            <a:ext cx="48" cy="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１２</a:t>
            </a:r>
          </a:p>
        </xdr:txBody>
      </xdr:sp>
      <xdr:sp macro="" textlink="">
        <xdr:nvSpPr>
          <xdr:cNvPr id="157" name="Line 667"/>
          <xdr:cNvSpPr>
            <a:spLocks noChangeShapeType="1"/>
          </xdr:cNvSpPr>
        </xdr:nvSpPr>
        <xdr:spPr bwMode="auto">
          <a:xfrm>
            <a:off x="318"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8" name="Line 668"/>
          <xdr:cNvSpPr>
            <a:spLocks noChangeShapeType="1"/>
          </xdr:cNvSpPr>
        </xdr:nvSpPr>
        <xdr:spPr bwMode="auto">
          <a:xfrm flipV="1">
            <a:off x="318"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9" name="Line 669"/>
          <xdr:cNvSpPr>
            <a:spLocks noChangeShapeType="1"/>
          </xdr:cNvSpPr>
        </xdr:nvSpPr>
        <xdr:spPr bwMode="auto">
          <a:xfrm>
            <a:off x="323" y="1424"/>
            <a:ext cx="220"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60" name="Line 670"/>
          <xdr:cNvSpPr>
            <a:spLocks noChangeShapeType="1"/>
          </xdr:cNvSpPr>
        </xdr:nvSpPr>
        <xdr:spPr bwMode="auto">
          <a:xfrm>
            <a:off x="538"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1" name="Line 671"/>
          <xdr:cNvSpPr>
            <a:spLocks noChangeShapeType="1"/>
          </xdr:cNvSpPr>
        </xdr:nvSpPr>
        <xdr:spPr bwMode="auto">
          <a:xfrm flipV="1">
            <a:off x="538"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2" name="Line 672"/>
          <xdr:cNvSpPr>
            <a:spLocks noChangeShapeType="1"/>
          </xdr:cNvSpPr>
        </xdr:nvSpPr>
        <xdr:spPr bwMode="auto">
          <a:xfrm>
            <a:off x="543" y="1424"/>
            <a:ext cx="96"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63" name="Text Box 673"/>
          <xdr:cNvSpPr txBox="1">
            <a:spLocks noChangeArrowheads="1"/>
          </xdr:cNvSpPr>
        </xdr:nvSpPr>
        <xdr:spPr bwMode="auto">
          <a:xfrm>
            <a:off x="567" y="1408"/>
            <a:ext cx="75"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Load-</a:t>
            </a:r>
            <a:r>
              <a:rPr lang="ja-JP" altLang="en-US" sz="900" b="0" i="0" u="none" strike="noStrike" baseline="0">
                <a:solidFill>
                  <a:srgbClr val="000000"/>
                </a:solidFill>
                <a:latin typeface="ＭＳ Ｐゴシック"/>
                <a:ea typeface="ＭＳ Ｐゴシック"/>
              </a:rPr>
              <a:t>ｎ</a:t>
            </a:r>
          </a:p>
        </xdr:txBody>
      </xdr:sp>
      <xdr:sp macro="" textlink="">
        <xdr:nvSpPr>
          <xdr:cNvPr id="164" name="Line 674"/>
          <xdr:cNvSpPr>
            <a:spLocks noChangeShapeType="1"/>
          </xdr:cNvSpPr>
        </xdr:nvSpPr>
        <xdr:spPr bwMode="auto">
          <a:xfrm>
            <a:off x="634"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5" name="Line 675"/>
          <xdr:cNvSpPr>
            <a:spLocks noChangeShapeType="1"/>
          </xdr:cNvSpPr>
        </xdr:nvSpPr>
        <xdr:spPr bwMode="auto">
          <a:xfrm flipV="1">
            <a:off x="634"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6" name="Line 676"/>
          <xdr:cNvSpPr>
            <a:spLocks noChangeShapeType="1"/>
          </xdr:cNvSpPr>
        </xdr:nvSpPr>
        <xdr:spPr bwMode="auto">
          <a:xfrm>
            <a:off x="639" y="1424"/>
            <a:ext cx="104"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67" name="Text Box 677"/>
          <xdr:cNvSpPr txBox="1">
            <a:spLocks noChangeArrowheads="1"/>
          </xdr:cNvSpPr>
        </xdr:nvSpPr>
        <xdr:spPr bwMode="auto">
          <a:xfrm>
            <a:off x="664" y="1409"/>
            <a:ext cx="75"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Load-</a:t>
            </a:r>
            <a:r>
              <a:rPr lang="ja-JP" altLang="en-US" sz="800" b="0" i="0" u="none" strike="noStrike" baseline="0">
                <a:solidFill>
                  <a:srgbClr val="000000"/>
                </a:solidFill>
                <a:latin typeface="ＭＳ Ｐゴシック"/>
                <a:ea typeface="ＭＳ Ｐゴシック"/>
              </a:rPr>
              <a:t>２</a:t>
            </a:r>
          </a:p>
        </xdr:txBody>
      </xdr:sp>
      <xdr:sp macro="" textlink="">
        <xdr:nvSpPr>
          <xdr:cNvPr id="168" name="Line 678"/>
          <xdr:cNvSpPr>
            <a:spLocks noChangeShapeType="1"/>
          </xdr:cNvSpPr>
        </xdr:nvSpPr>
        <xdr:spPr bwMode="auto">
          <a:xfrm>
            <a:off x="738"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9" name="Line 679"/>
          <xdr:cNvSpPr>
            <a:spLocks noChangeShapeType="1"/>
          </xdr:cNvSpPr>
        </xdr:nvSpPr>
        <xdr:spPr bwMode="auto">
          <a:xfrm flipV="1">
            <a:off x="738" y="1423"/>
            <a:ext cx="10" cy="3"/>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0" name="Line 680"/>
          <xdr:cNvSpPr>
            <a:spLocks noChangeShapeType="1"/>
          </xdr:cNvSpPr>
        </xdr:nvSpPr>
        <xdr:spPr bwMode="auto">
          <a:xfrm flipH="1">
            <a:off x="629" y="1386"/>
            <a:ext cx="3" cy="18"/>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71" name="Line 681"/>
          <xdr:cNvSpPr>
            <a:spLocks noChangeShapeType="1"/>
          </xdr:cNvSpPr>
        </xdr:nvSpPr>
        <xdr:spPr bwMode="auto">
          <a:xfrm flipV="1">
            <a:off x="192" y="1395"/>
            <a:ext cx="434"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72" name="Text Box 682"/>
          <xdr:cNvSpPr txBox="1">
            <a:spLocks noChangeArrowheads="1"/>
          </xdr:cNvSpPr>
        </xdr:nvSpPr>
        <xdr:spPr bwMode="auto">
          <a:xfrm>
            <a:off x="435" y="1321"/>
            <a:ext cx="25"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173" name="Text Box 683"/>
          <xdr:cNvSpPr txBox="1">
            <a:spLocks noChangeArrowheads="1"/>
          </xdr:cNvSpPr>
        </xdr:nvSpPr>
        <xdr:spPr bwMode="auto">
          <a:xfrm>
            <a:off x="447" y="1323"/>
            <a:ext cx="40"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en-US" altLang="ja-JP"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Ｃ</a:t>
            </a:r>
            <a:r>
              <a:rPr lang="ja-JP" altLang="en-US" sz="800" b="0" i="0" u="none" strike="noStrike" baseline="0">
                <a:solidFill>
                  <a:srgbClr val="339966"/>
                </a:solidFill>
                <a:latin typeface="ＭＳ Ｐゴシック"/>
                <a:ea typeface="ＭＳ Ｐゴシック"/>
              </a:rPr>
              <a:t>ｎ</a:t>
            </a:r>
          </a:p>
        </xdr:txBody>
      </xdr:sp>
      <xdr:sp macro="" textlink="">
        <xdr:nvSpPr>
          <xdr:cNvPr id="174" name="Line 684"/>
          <xdr:cNvSpPr>
            <a:spLocks noChangeShapeType="1"/>
          </xdr:cNvSpPr>
        </xdr:nvSpPr>
        <xdr:spPr bwMode="auto">
          <a:xfrm flipV="1">
            <a:off x="315" y="1284"/>
            <a:ext cx="13" cy="4"/>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75" name="Line 685"/>
          <xdr:cNvSpPr>
            <a:spLocks noChangeShapeType="1"/>
          </xdr:cNvSpPr>
        </xdr:nvSpPr>
        <xdr:spPr bwMode="auto">
          <a:xfrm flipV="1">
            <a:off x="315" y="1288"/>
            <a:ext cx="13" cy="4"/>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76" name="Line 686"/>
          <xdr:cNvSpPr>
            <a:spLocks noChangeShapeType="1"/>
          </xdr:cNvSpPr>
        </xdr:nvSpPr>
        <xdr:spPr bwMode="auto">
          <a:xfrm flipH="1">
            <a:off x="624" y="1386"/>
            <a:ext cx="3" cy="18"/>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77" name="Text Box 687"/>
          <xdr:cNvSpPr txBox="1">
            <a:spLocks noChangeArrowheads="1"/>
          </xdr:cNvSpPr>
        </xdr:nvSpPr>
        <xdr:spPr bwMode="auto">
          <a:xfrm>
            <a:off x="284" y="1265"/>
            <a:ext cx="25"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178" name="Text Box 688"/>
          <xdr:cNvSpPr txBox="1">
            <a:spLocks noChangeArrowheads="1"/>
          </xdr:cNvSpPr>
        </xdr:nvSpPr>
        <xdr:spPr bwMode="auto">
          <a:xfrm>
            <a:off x="269" y="1269"/>
            <a:ext cx="47"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ＣＳ</a:t>
            </a:r>
          </a:p>
        </xdr:txBody>
      </xdr:sp>
      <xdr:sp macro="" textlink="" fLocksText="0">
        <xdr:nvSpPr>
          <xdr:cNvPr id="179" name="Text Box 689"/>
          <xdr:cNvSpPr txBox="1">
            <a:spLocks noChangeArrowheads="1"/>
          </xdr:cNvSpPr>
        </xdr:nvSpPr>
        <xdr:spPr bwMode="auto">
          <a:xfrm>
            <a:off x="435" y="1209"/>
            <a:ext cx="25"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180" name="Text Box 690"/>
          <xdr:cNvSpPr txBox="1">
            <a:spLocks noChangeArrowheads="1"/>
          </xdr:cNvSpPr>
        </xdr:nvSpPr>
        <xdr:spPr bwMode="auto">
          <a:xfrm>
            <a:off x="447" y="1211"/>
            <a:ext cx="41"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000" b="1" i="0" u="none" strike="noStrike" baseline="0">
                <a:solidFill>
                  <a:srgbClr val="339966"/>
                </a:solidFill>
                <a:latin typeface="ＭＳ Ｐゴシック"/>
                <a:ea typeface="ＭＳ Ｐゴシック"/>
              </a:rPr>
              <a:t>I</a:t>
            </a:r>
            <a:r>
              <a:rPr lang="en-US" altLang="ja-JP"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Ｃ１</a:t>
            </a:r>
          </a:p>
        </xdr:txBody>
      </xdr:sp>
      <xdr:sp macro="" textlink="" fLocksText="0">
        <xdr:nvSpPr>
          <xdr:cNvPr id="181" name="Text Box 691"/>
          <xdr:cNvSpPr txBox="1">
            <a:spLocks noChangeArrowheads="1"/>
          </xdr:cNvSpPr>
        </xdr:nvSpPr>
        <xdr:spPr bwMode="auto">
          <a:xfrm>
            <a:off x="303" y="1184"/>
            <a:ext cx="42"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Ｒ</a:t>
            </a:r>
          </a:p>
        </xdr:txBody>
      </xdr:sp>
      <xdr:sp macro="" textlink="">
        <xdr:nvSpPr>
          <xdr:cNvPr id="182" name="Line 692"/>
          <xdr:cNvSpPr>
            <a:spLocks noChangeShapeType="1"/>
          </xdr:cNvSpPr>
        </xdr:nvSpPr>
        <xdr:spPr bwMode="auto">
          <a:xfrm>
            <a:off x="287" y="1179"/>
            <a:ext cx="8"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83" name="Line 693"/>
          <xdr:cNvSpPr>
            <a:spLocks noChangeShapeType="1"/>
          </xdr:cNvSpPr>
        </xdr:nvSpPr>
        <xdr:spPr bwMode="auto">
          <a:xfrm>
            <a:off x="301" y="1153"/>
            <a:ext cx="28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4" name="Line 694"/>
          <xdr:cNvSpPr>
            <a:spLocks noChangeShapeType="1"/>
          </xdr:cNvSpPr>
        </xdr:nvSpPr>
        <xdr:spPr bwMode="auto">
          <a:xfrm>
            <a:off x="458" y="1171"/>
            <a:ext cx="0" cy="42"/>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85" name="Line 695"/>
          <xdr:cNvSpPr>
            <a:spLocks noChangeShapeType="1"/>
          </xdr:cNvSpPr>
        </xdr:nvSpPr>
        <xdr:spPr bwMode="auto">
          <a:xfrm>
            <a:off x="197" y="1179"/>
            <a:ext cx="11"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186" name="Text Box 696"/>
          <xdr:cNvSpPr txBox="1">
            <a:spLocks noChangeArrowheads="1"/>
          </xdr:cNvSpPr>
        </xdr:nvSpPr>
        <xdr:spPr bwMode="auto">
          <a:xfrm>
            <a:off x="343" y="1161"/>
            <a:ext cx="44"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１４</a:t>
            </a:r>
          </a:p>
        </xdr:txBody>
      </xdr:sp>
      <xdr:sp macro="" textlink="">
        <xdr:nvSpPr>
          <xdr:cNvPr id="187" name="Line 697"/>
          <xdr:cNvSpPr>
            <a:spLocks noChangeShapeType="1"/>
          </xdr:cNvSpPr>
        </xdr:nvSpPr>
        <xdr:spPr bwMode="auto">
          <a:xfrm flipH="1">
            <a:off x="586" y="1143"/>
            <a:ext cx="6" cy="21"/>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8" name="Line 698"/>
          <xdr:cNvSpPr>
            <a:spLocks noChangeShapeType="1"/>
          </xdr:cNvSpPr>
        </xdr:nvSpPr>
        <xdr:spPr bwMode="auto">
          <a:xfrm>
            <a:off x="193" y="1203"/>
            <a:ext cx="33"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89" name="Line 699"/>
          <xdr:cNvSpPr>
            <a:spLocks noChangeShapeType="1"/>
          </xdr:cNvSpPr>
        </xdr:nvSpPr>
        <xdr:spPr bwMode="auto">
          <a:xfrm>
            <a:off x="254" y="1203"/>
            <a:ext cx="87"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90" name="Text Box 700"/>
          <xdr:cNvSpPr txBox="1">
            <a:spLocks noChangeArrowheads="1"/>
          </xdr:cNvSpPr>
        </xdr:nvSpPr>
        <xdr:spPr bwMode="auto">
          <a:xfrm>
            <a:off x="226" y="1193"/>
            <a:ext cx="28" cy="19"/>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ＴＲ</a:t>
            </a:r>
          </a:p>
        </xdr:txBody>
      </xdr:sp>
      <xdr:sp macro="" textlink="">
        <xdr:nvSpPr>
          <xdr:cNvPr id="191" name="Line 701"/>
          <xdr:cNvSpPr>
            <a:spLocks noChangeShapeType="1"/>
          </xdr:cNvSpPr>
        </xdr:nvSpPr>
        <xdr:spPr bwMode="auto">
          <a:xfrm>
            <a:off x="335" y="1223"/>
            <a:ext cx="0" cy="2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92" name="Line 702"/>
          <xdr:cNvSpPr>
            <a:spLocks noChangeShapeType="1"/>
          </xdr:cNvSpPr>
        </xdr:nvSpPr>
        <xdr:spPr bwMode="auto">
          <a:xfrm>
            <a:off x="280" y="1203"/>
            <a:ext cx="0" cy="3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93" name="Text Box 703"/>
          <xdr:cNvSpPr txBox="1">
            <a:spLocks noChangeArrowheads="1"/>
          </xdr:cNvSpPr>
        </xdr:nvSpPr>
        <xdr:spPr bwMode="auto">
          <a:xfrm>
            <a:off x="204" y="1211"/>
            <a:ext cx="95"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900" b="1" i="0" u="none" strike="noStrike" baseline="0">
                <a:solidFill>
                  <a:srgbClr val="000000"/>
                </a:solidFill>
                <a:latin typeface="ＭＳ Ｐゴシック"/>
                <a:ea typeface="ＭＳ Ｐゴシック"/>
              </a:rPr>
              <a:t>R</a:t>
            </a:r>
            <a:r>
              <a:rPr lang="en-US" altLang="ja-JP" sz="600" b="0" i="0" u="none" strike="noStrike" baseline="0">
                <a:solidFill>
                  <a:srgbClr val="000000"/>
                </a:solidFill>
                <a:latin typeface="ＭＳ Ｐゴシック"/>
                <a:ea typeface="ＭＳ Ｐゴシック"/>
              </a:rPr>
              <a:t>TR</a:t>
            </a:r>
            <a:r>
              <a:rPr lang="en-US" altLang="ja-JP" sz="1000" b="0"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a:t>
            </a:r>
            <a:r>
              <a:rPr lang="en-US" altLang="ja-JP" sz="900" b="1" i="0" u="none" strike="noStrike" baseline="0">
                <a:solidFill>
                  <a:srgbClr val="000000"/>
                </a:solidFill>
                <a:latin typeface="ＭＳ Ｐゴシック"/>
                <a:ea typeface="ＭＳ Ｐゴシック"/>
              </a:rPr>
              <a:t>j</a:t>
            </a:r>
            <a:r>
              <a:rPr lang="el-GR" altLang="ja-JP" sz="900" b="1" i="0" u="none" strike="noStrike" baseline="0">
                <a:solidFill>
                  <a:srgbClr val="000000"/>
                </a:solidFill>
                <a:latin typeface="ＭＳ Ｐゴシック"/>
                <a:ea typeface="ＭＳ Ｐゴシック"/>
              </a:rPr>
              <a:t>ω</a:t>
            </a:r>
            <a:r>
              <a:rPr lang="ja-JP" altLang="en-US" sz="900" b="1" i="0" u="none" strike="noStrike" baseline="0">
                <a:solidFill>
                  <a:srgbClr val="000000"/>
                </a:solidFill>
                <a:latin typeface="ＭＳ Ｐゴシック"/>
                <a:ea typeface="ＭＳ Ｐゴシック"/>
              </a:rPr>
              <a:t>Ｌ</a:t>
            </a:r>
            <a:r>
              <a:rPr lang="en-US" altLang="ja-JP" sz="600" b="0" i="0" u="none" strike="noStrike" baseline="0">
                <a:solidFill>
                  <a:srgbClr val="000000"/>
                </a:solidFill>
                <a:latin typeface="ＭＳ Ｐゴシック"/>
                <a:ea typeface="ＭＳ Ｐゴシック"/>
              </a:rPr>
              <a:t>TR</a:t>
            </a:r>
          </a:p>
        </xdr:txBody>
      </xdr:sp>
      <xdr:sp macro="" textlink="">
        <xdr:nvSpPr>
          <xdr:cNvPr id="194" name="Text Box 704"/>
          <xdr:cNvSpPr txBox="1">
            <a:spLocks noChangeArrowheads="1"/>
          </xdr:cNvSpPr>
        </xdr:nvSpPr>
        <xdr:spPr bwMode="auto">
          <a:xfrm>
            <a:off x="199" y="1197"/>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195" name="Text Box 705"/>
          <xdr:cNvSpPr txBox="1">
            <a:spLocks noChangeArrowheads="1"/>
          </xdr:cNvSpPr>
        </xdr:nvSpPr>
        <xdr:spPr bwMode="auto">
          <a:xfrm>
            <a:off x="294" y="1197"/>
            <a:ext cx="13"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196" name="Line 706"/>
          <xdr:cNvSpPr>
            <a:spLocks noChangeShapeType="1"/>
          </xdr:cNvSpPr>
        </xdr:nvSpPr>
        <xdr:spPr bwMode="auto">
          <a:xfrm flipV="1">
            <a:off x="1008" y="1268"/>
            <a:ext cx="13" cy="4"/>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97" name="Line 707"/>
          <xdr:cNvSpPr>
            <a:spLocks noChangeShapeType="1"/>
          </xdr:cNvSpPr>
        </xdr:nvSpPr>
        <xdr:spPr bwMode="auto">
          <a:xfrm flipV="1">
            <a:off x="1008" y="1272"/>
            <a:ext cx="13" cy="4"/>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98" name="Line 708"/>
          <xdr:cNvSpPr>
            <a:spLocks noChangeShapeType="1"/>
          </xdr:cNvSpPr>
        </xdr:nvSpPr>
        <xdr:spPr bwMode="auto">
          <a:xfrm flipH="1">
            <a:off x="1081" y="1301"/>
            <a:ext cx="3" cy="1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99" name="Oval 709"/>
          <xdr:cNvSpPr>
            <a:spLocks noChangeArrowheads="1"/>
          </xdr:cNvSpPr>
        </xdr:nvSpPr>
        <xdr:spPr bwMode="auto">
          <a:xfrm>
            <a:off x="916" y="1177"/>
            <a:ext cx="29" cy="2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00" name="AutoShape 710"/>
          <xdr:cNvSpPr>
            <a:spLocks noChangeArrowheads="1"/>
          </xdr:cNvSpPr>
        </xdr:nvSpPr>
        <xdr:spPr bwMode="auto">
          <a:xfrm rot="-30627468">
            <a:off x="1006" y="1156"/>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01" name="Line 711"/>
          <xdr:cNvSpPr>
            <a:spLocks noChangeShapeType="1"/>
          </xdr:cNvSpPr>
        </xdr:nvSpPr>
        <xdr:spPr bwMode="auto">
          <a:xfrm>
            <a:off x="1083" y="1306"/>
            <a:ext cx="41"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nvGrpSpPr>
          <xdr:cNvPr id="202" name="Group 712"/>
          <xdr:cNvGrpSpPr>
            <a:grpSpLocks/>
          </xdr:cNvGrpSpPr>
        </xdr:nvGrpSpPr>
        <xdr:grpSpPr bwMode="auto">
          <a:xfrm>
            <a:off x="1107" y="1269"/>
            <a:ext cx="35" cy="32"/>
            <a:chOff x="1127" y="1302"/>
            <a:chExt cx="35" cy="33"/>
          </a:xfrm>
        </xdr:grpSpPr>
        <xdr:sp macro="" textlink="">
          <xdr:nvSpPr>
            <xdr:cNvPr id="307" name="Rectangle 713"/>
            <xdr:cNvSpPr>
              <a:spLocks noChangeArrowheads="1"/>
            </xdr:cNvSpPr>
          </xdr:nvSpPr>
          <xdr:spPr bwMode="auto">
            <a:xfrm>
              <a:off x="1127" y="1302"/>
              <a:ext cx="35" cy="33"/>
            </a:xfrm>
            <a:prstGeom prst="rect">
              <a:avLst/>
            </a:prstGeom>
            <a:noFill/>
            <a:ln w="3175">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8" name="Line 714"/>
            <xdr:cNvSpPr>
              <a:spLocks noChangeShapeType="1"/>
            </xdr:cNvSpPr>
          </xdr:nvSpPr>
          <xdr:spPr bwMode="auto">
            <a:xfrm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9" name="Line 715"/>
            <xdr:cNvSpPr>
              <a:spLocks noChangeShapeType="1"/>
            </xdr:cNvSpPr>
          </xdr:nvSpPr>
          <xdr:spPr bwMode="auto">
            <a:xfrm flipH="1"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sp macro="" textlink="">
        <xdr:nvSpPr>
          <xdr:cNvPr id="203" name="Line 716"/>
          <xdr:cNvSpPr>
            <a:spLocks noChangeShapeType="1"/>
          </xdr:cNvSpPr>
        </xdr:nvSpPr>
        <xdr:spPr bwMode="auto">
          <a:xfrm>
            <a:off x="1118" y="1282"/>
            <a:ext cx="11"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04" name="Line 717"/>
          <xdr:cNvSpPr>
            <a:spLocks noChangeShapeType="1"/>
          </xdr:cNvSpPr>
        </xdr:nvSpPr>
        <xdr:spPr bwMode="auto">
          <a:xfrm>
            <a:off x="1138" y="1282"/>
            <a:ext cx="88"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05" name="Text Box 718"/>
          <xdr:cNvSpPr txBox="1">
            <a:spLocks noChangeArrowheads="1"/>
          </xdr:cNvSpPr>
        </xdr:nvSpPr>
        <xdr:spPr bwMode="auto">
          <a:xfrm>
            <a:off x="1151" y="1216"/>
            <a:ext cx="8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C</a:t>
            </a:r>
            <a:r>
              <a:rPr lang="ja-JP" altLang="en-US" sz="1000" b="1" i="0" u="none" strike="noStrike" baseline="0">
                <a:solidFill>
                  <a:srgbClr val="000000"/>
                </a:solidFill>
                <a:latin typeface="ＭＳ Ｐゴシック"/>
                <a:ea typeface="ＭＳ Ｐゴシック"/>
              </a:rPr>
              <a:t>ａｂｌｅ</a:t>
            </a:r>
            <a:r>
              <a:rPr lang="ja-JP" altLang="en-US" sz="600" b="0" i="0" u="none" strike="noStrike" baseline="0">
                <a:solidFill>
                  <a:srgbClr val="000000"/>
                </a:solidFill>
                <a:latin typeface="ＭＳ Ｐゴシック"/>
                <a:ea typeface="ＭＳ Ｐゴシック"/>
              </a:rPr>
              <a:t>－２２</a:t>
            </a:r>
            <a:endParaRPr lang="ja-JP" altLang="en-US" sz="700" b="0" i="0" u="none" strike="noStrike" baseline="0">
              <a:solidFill>
                <a:srgbClr val="000000"/>
              </a:solidFill>
              <a:latin typeface="ＭＳ Ｐゴシック"/>
              <a:ea typeface="ＭＳ Ｐゴシック"/>
            </a:endParaRPr>
          </a:p>
          <a:p>
            <a:pPr algn="l" rtl="0">
              <a:defRPr sz="1000"/>
            </a:pPr>
            <a:endParaRPr lang="ja-JP" altLang="en-US" sz="700" b="0" i="0" u="none" strike="noStrike" baseline="0">
              <a:solidFill>
                <a:srgbClr val="000000"/>
              </a:solidFill>
              <a:latin typeface="ＭＳ Ｐゴシック"/>
              <a:ea typeface="ＭＳ Ｐゴシック"/>
            </a:endParaRPr>
          </a:p>
        </xdr:txBody>
      </xdr:sp>
      <xdr:sp macro="" textlink="">
        <xdr:nvSpPr>
          <xdr:cNvPr id="206" name="Line 719"/>
          <xdr:cNvSpPr>
            <a:spLocks noChangeShapeType="1"/>
          </xdr:cNvSpPr>
        </xdr:nvSpPr>
        <xdr:spPr bwMode="auto">
          <a:xfrm>
            <a:off x="927" y="1275"/>
            <a:ext cx="34"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07" name="Rectangle 720"/>
          <xdr:cNvSpPr>
            <a:spLocks noChangeArrowheads="1"/>
          </xdr:cNvSpPr>
        </xdr:nvSpPr>
        <xdr:spPr bwMode="auto">
          <a:xfrm>
            <a:off x="892" y="1141"/>
            <a:ext cx="508" cy="18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08" name="Oval 721"/>
          <xdr:cNvSpPr>
            <a:spLocks noChangeArrowheads="1"/>
          </xdr:cNvSpPr>
        </xdr:nvSpPr>
        <xdr:spPr bwMode="auto">
          <a:xfrm>
            <a:off x="909" y="1222"/>
            <a:ext cx="29" cy="2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09" name="AutoShape 722"/>
          <xdr:cNvSpPr>
            <a:spLocks noChangeArrowheads="1"/>
          </xdr:cNvSpPr>
        </xdr:nvSpPr>
        <xdr:spPr bwMode="auto">
          <a:xfrm flipV="1">
            <a:off x="1119" y="1289"/>
            <a:ext cx="10" cy="8"/>
          </a:xfrm>
          <a:prstGeom prst="triangle">
            <a:avLst>
              <a:gd name="adj" fmla="val 50449"/>
            </a:avLst>
          </a:prstGeom>
          <a:noFill/>
          <a:ln w="317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0" name="Line 723"/>
          <xdr:cNvSpPr>
            <a:spLocks noChangeShapeType="1"/>
          </xdr:cNvSpPr>
        </xdr:nvSpPr>
        <xdr:spPr bwMode="auto">
          <a:xfrm>
            <a:off x="1014" y="1274"/>
            <a:ext cx="0" cy="9"/>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1" name="Line 724"/>
          <xdr:cNvSpPr>
            <a:spLocks noChangeShapeType="1"/>
          </xdr:cNvSpPr>
        </xdr:nvSpPr>
        <xdr:spPr bwMode="auto">
          <a:xfrm>
            <a:off x="1124" y="1282"/>
            <a:ext cx="0" cy="7"/>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2" name="Line 725"/>
          <xdr:cNvSpPr>
            <a:spLocks noChangeShapeType="1"/>
          </xdr:cNvSpPr>
        </xdr:nvSpPr>
        <xdr:spPr bwMode="auto">
          <a:xfrm>
            <a:off x="1014" y="1282"/>
            <a:ext cx="9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3" name="Line 726"/>
          <xdr:cNvSpPr>
            <a:spLocks noChangeShapeType="1"/>
          </xdr:cNvSpPr>
        </xdr:nvSpPr>
        <xdr:spPr bwMode="auto">
          <a:xfrm>
            <a:off x="1124" y="1297"/>
            <a:ext cx="0" cy="1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4" name="AutoShape 727"/>
          <xdr:cNvSpPr>
            <a:spLocks noChangeArrowheads="1"/>
          </xdr:cNvSpPr>
        </xdr:nvSpPr>
        <xdr:spPr bwMode="auto">
          <a:xfrm rot="-19827620">
            <a:off x="1111" y="1230"/>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5" name="Line 728"/>
          <xdr:cNvSpPr>
            <a:spLocks noChangeShapeType="1"/>
          </xdr:cNvSpPr>
        </xdr:nvSpPr>
        <xdr:spPr bwMode="auto">
          <a:xfrm>
            <a:off x="1014" y="1215"/>
            <a:ext cx="110"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nvGrpSpPr>
          <xdr:cNvPr id="216" name="Group 729"/>
          <xdr:cNvGrpSpPr>
            <a:grpSpLocks/>
          </xdr:cNvGrpSpPr>
        </xdr:nvGrpSpPr>
        <xdr:grpSpPr bwMode="auto">
          <a:xfrm>
            <a:off x="1107" y="1179"/>
            <a:ext cx="35" cy="31"/>
            <a:chOff x="1127" y="1302"/>
            <a:chExt cx="35" cy="33"/>
          </a:xfrm>
        </xdr:grpSpPr>
        <xdr:sp macro="" textlink="">
          <xdr:nvSpPr>
            <xdr:cNvPr id="304" name="Rectangle 730"/>
            <xdr:cNvSpPr>
              <a:spLocks noChangeArrowheads="1"/>
            </xdr:cNvSpPr>
          </xdr:nvSpPr>
          <xdr:spPr bwMode="auto">
            <a:xfrm>
              <a:off x="1127" y="1302"/>
              <a:ext cx="35" cy="33"/>
            </a:xfrm>
            <a:prstGeom prst="rect">
              <a:avLst/>
            </a:prstGeom>
            <a:noFill/>
            <a:ln w="3175">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5" name="Line 731"/>
            <xdr:cNvSpPr>
              <a:spLocks noChangeShapeType="1"/>
            </xdr:cNvSpPr>
          </xdr:nvSpPr>
          <xdr:spPr bwMode="auto">
            <a:xfrm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6" name="Line 732"/>
            <xdr:cNvSpPr>
              <a:spLocks noChangeShapeType="1"/>
            </xdr:cNvSpPr>
          </xdr:nvSpPr>
          <xdr:spPr bwMode="auto">
            <a:xfrm flipH="1"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sp macro="" textlink="">
        <xdr:nvSpPr>
          <xdr:cNvPr id="217" name="Line 733"/>
          <xdr:cNvSpPr>
            <a:spLocks noChangeShapeType="1"/>
          </xdr:cNvSpPr>
        </xdr:nvSpPr>
        <xdr:spPr bwMode="auto">
          <a:xfrm>
            <a:off x="1118" y="1192"/>
            <a:ext cx="11"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8" name="AutoShape 734"/>
          <xdr:cNvSpPr>
            <a:spLocks noChangeArrowheads="1"/>
          </xdr:cNvSpPr>
        </xdr:nvSpPr>
        <xdr:spPr bwMode="auto">
          <a:xfrm rot="-30627468">
            <a:off x="1126" y="1279"/>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9" name="Line 735"/>
          <xdr:cNvSpPr>
            <a:spLocks noChangeShapeType="1"/>
          </xdr:cNvSpPr>
        </xdr:nvSpPr>
        <xdr:spPr bwMode="auto">
          <a:xfrm>
            <a:off x="1137" y="1192"/>
            <a:ext cx="88"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0" name="AutoShape 736"/>
          <xdr:cNvSpPr>
            <a:spLocks noChangeArrowheads="1"/>
          </xdr:cNvSpPr>
        </xdr:nvSpPr>
        <xdr:spPr bwMode="auto">
          <a:xfrm flipV="1">
            <a:off x="1119" y="1199"/>
            <a:ext cx="10" cy="7"/>
          </a:xfrm>
          <a:prstGeom prst="triangle">
            <a:avLst>
              <a:gd name="adj" fmla="val 50449"/>
            </a:avLst>
          </a:prstGeom>
          <a:noFill/>
          <a:ln w="317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1" name="Line 737"/>
          <xdr:cNvSpPr>
            <a:spLocks noChangeShapeType="1"/>
          </xdr:cNvSpPr>
        </xdr:nvSpPr>
        <xdr:spPr bwMode="auto">
          <a:xfrm>
            <a:off x="1014" y="1215"/>
            <a:ext cx="0" cy="21"/>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2" name="Line 738"/>
          <xdr:cNvSpPr>
            <a:spLocks noChangeShapeType="1"/>
          </xdr:cNvSpPr>
        </xdr:nvSpPr>
        <xdr:spPr bwMode="auto">
          <a:xfrm>
            <a:off x="1124" y="1192"/>
            <a:ext cx="0" cy="7"/>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3" name="Line 739"/>
          <xdr:cNvSpPr>
            <a:spLocks noChangeShapeType="1"/>
          </xdr:cNvSpPr>
        </xdr:nvSpPr>
        <xdr:spPr bwMode="auto">
          <a:xfrm>
            <a:off x="1017" y="1159"/>
            <a:ext cx="138"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4" name="Line 740"/>
          <xdr:cNvSpPr>
            <a:spLocks noChangeShapeType="1"/>
          </xdr:cNvSpPr>
        </xdr:nvSpPr>
        <xdr:spPr bwMode="auto">
          <a:xfrm>
            <a:off x="1124" y="1206"/>
            <a:ext cx="0" cy="1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5" name="Line 741"/>
          <xdr:cNvSpPr>
            <a:spLocks noChangeShapeType="1"/>
          </xdr:cNvSpPr>
        </xdr:nvSpPr>
        <xdr:spPr bwMode="auto">
          <a:xfrm flipV="1">
            <a:off x="1253" y="1185"/>
            <a:ext cx="31" cy="14"/>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6" name="Line 742"/>
          <xdr:cNvSpPr>
            <a:spLocks noChangeShapeType="1"/>
          </xdr:cNvSpPr>
        </xdr:nvSpPr>
        <xdr:spPr bwMode="auto">
          <a:xfrm>
            <a:off x="1242" y="1282"/>
            <a:ext cx="0" cy="1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27" name="Line 743"/>
          <xdr:cNvSpPr>
            <a:spLocks noChangeShapeType="1"/>
          </xdr:cNvSpPr>
        </xdr:nvSpPr>
        <xdr:spPr bwMode="auto">
          <a:xfrm>
            <a:off x="1234" y="1282"/>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28" name="Text Box 744"/>
          <xdr:cNvSpPr txBox="1">
            <a:spLocks noChangeArrowheads="1"/>
          </xdr:cNvSpPr>
        </xdr:nvSpPr>
        <xdr:spPr bwMode="auto">
          <a:xfrm>
            <a:off x="1245" y="1289"/>
            <a:ext cx="51"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FF"/>
                </a:solidFill>
                <a:latin typeface="ＭＳ Ｐゴシック"/>
                <a:ea typeface="ＭＳ Ｐゴシック"/>
              </a:rPr>
              <a:t>C</a:t>
            </a:r>
            <a:r>
              <a:rPr lang="ja-JP" altLang="en-US" sz="600" b="0" i="0" u="none" strike="noStrike" baseline="0">
                <a:solidFill>
                  <a:srgbClr val="0000FF"/>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ｎ</a:t>
            </a:r>
          </a:p>
        </xdr:txBody>
      </xdr:sp>
      <xdr:sp macro="" textlink="">
        <xdr:nvSpPr>
          <xdr:cNvPr id="229" name="Line 745"/>
          <xdr:cNvSpPr>
            <a:spLocks noChangeShapeType="1"/>
          </xdr:cNvSpPr>
        </xdr:nvSpPr>
        <xdr:spPr bwMode="auto">
          <a:xfrm>
            <a:off x="1236" y="1301"/>
            <a:ext cx="12"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0" name="Line 746"/>
          <xdr:cNvSpPr>
            <a:spLocks noChangeShapeType="1"/>
          </xdr:cNvSpPr>
        </xdr:nvSpPr>
        <xdr:spPr bwMode="auto">
          <a:xfrm>
            <a:off x="1236" y="1296"/>
            <a:ext cx="12"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1" name="Rectangle 747"/>
          <xdr:cNvSpPr>
            <a:spLocks noChangeArrowheads="1"/>
          </xdr:cNvSpPr>
        </xdr:nvSpPr>
        <xdr:spPr bwMode="auto">
          <a:xfrm>
            <a:off x="1253" y="1276"/>
            <a:ext cx="31" cy="13"/>
          </a:xfrm>
          <a:prstGeom prst="rect">
            <a:avLst/>
          </a:prstGeom>
          <a:noFill/>
          <a:ln w="127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2" name="AutoShape 748"/>
          <xdr:cNvSpPr>
            <a:spLocks noChangeArrowheads="1"/>
          </xdr:cNvSpPr>
        </xdr:nvSpPr>
        <xdr:spPr bwMode="auto">
          <a:xfrm>
            <a:off x="1255" y="1277"/>
            <a:ext cx="29" cy="12"/>
          </a:xfrm>
          <a:prstGeom prst="triangle">
            <a:avLst>
              <a:gd name="adj" fmla="val 100000"/>
            </a:avLst>
          </a:prstGeom>
          <a:solidFill>
            <a:srgbClr xmlns:mc="http://schemas.openxmlformats.org/markup-compatibility/2006" xmlns:a14="http://schemas.microsoft.com/office/drawing/2010/main" val="000000" mc:Ignorable="a14" a14:legacySpreadsheetColorIndex="8"/>
          </a:solidFill>
          <a:ln w="127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3" name="Line 749"/>
          <xdr:cNvSpPr>
            <a:spLocks noChangeShapeType="1"/>
          </xdr:cNvSpPr>
        </xdr:nvSpPr>
        <xdr:spPr bwMode="auto">
          <a:xfrm>
            <a:off x="1242" y="1192"/>
            <a:ext cx="0" cy="13"/>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4" name="Line 750"/>
          <xdr:cNvSpPr>
            <a:spLocks noChangeShapeType="1"/>
          </xdr:cNvSpPr>
        </xdr:nvSpPr>
        <xdr:spPr bwMode="auto">
          <a:xfrm>
            <a:off x="1234" y="1192"/>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35" name="Text Box 751"/>
          <xdr:cNvSpPr txBox="1">
            <a:spLocks noChangeArrowheads="1"/>
          </xdr:cNvSpPr>
        </xdr:nvSpPr>
        <xdr:spPr bwMode="auto">
          <a:xfrm>
            <a:off x="907" y="1248"/>
            <a:ext cx="43"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en-US" altLang="ja-JP" sz="1100" b="1" i="0" u="none" strike="noStrike" baseline="0">
                <a:solidFill>
                  <a:srgbClr val="0000FF"/>
                </a:solidFill>
                <a:latin typeface="ＭＳ Ｐゴシック"/>
                <a:ea typeface="ＭＳ Ｐゴシック"/>
              </a:rPr>
              <a:t>ACG</a:t>
            </a:r>
          </a:p>
        </xdr:txBody>
      </xdr:sp>
      <xdr:sp macro="" textlink="">
        <xdr:nvSpPr>
          <xdr:cNvPr id="236" name="AutoShape 752"/>
          <xdr:cNvSpPr>
            <a:spLocks noChangeArrowheads="1"/>
          </xdr:cNvSpPr>
        </xdr:nvSpPr>
        <xdr:spPr bwMode="auto">
          <a:xfrm rot="-19827620">
            <a:off x="1227" y="1186"/>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7" name="Line 753"/>
          <xdr:cNvSpPr>
            <a:spLocks noChangeShapeType="1"/>
          </xdr:cNvSpPr>
        </xdr:nvSpPr>
        <xdr:spPr bwMode="auto">
          <a:xfrm>
            <a:off x="1236" y="1210"/>
            <a:ext cx="12"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8" name="Line 754"/>
          <xdr:cNvSpPr>
            <a:spLocks noChangeShapeType="1"/>
          </xdr:cNvSpPr>
        </xdr:nvSpPr>
        <xdr:spPr bwMode="auto">
          <a:xfrm>
            <a:off x="1236" y="1205"/>
            <a:ext cx="12"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39" name="Rectangle 755"/>
          <xdr:cNvSpPr>
            <a:spLocks noChangeArrowheads="1"/>
          </xdr:cNvSpPr>
        </xdr:nvSpPr>
        <xdr:spPr bwMode="auto">
          <a:xfrm>
            <a:off x="1253" y="1185"/>
            <a:ext cx="31" cy="14"/>
          </a:xfrm>
          <a:prstGeom prst="rect">
            <a:avLst/>
          </a:prstGeom>
          <a:noFill/>
          <a:ln w="127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0" name="AutoShape 756"/>
          <xdr:cNvSpPr>
            <a:spLocks noChangeArrowheads="1"/>
          </xdr:cNvSpPr>
        </xdr:nvSpPr>
        <xdr:spPr bwMode="auto">
          <a:xfrm>
            <a:off x="1255" y="1186"/>
            <a:ext cx="29" cy="13"/>
          </a:xfrm>
          <a:prstGeom prst="triangle">
            <a:avLst>
              <a:gd name="adj" fmla="val 100000"/>
            </a:avLst>
          </a:prstGeom>
          <a:solidFill>
            <a:srgbClr xmlns:mc="http://schemas.openxmlformats.org/markup-compatibility/2006" xmlns:a14="http://schemas.microsoft.com/office/drawing/2010/main" val="000000" mc:Ignorable="a14" a14:legacySpreadsheetColorIndex="8"/>
          </a:solidFill>
          <a:ln w="127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1" name="Line 757"/>
          <xdr:cNvSpPr>
            <a:spLocks noChangeShapeType="1"/>
          </xdr:cNvSpPr>
        </xdr:nvSpPr>
        <xdr:spPr bwMode="auto">
          <a:xfrm>
            <a:off x="1014" y="1259"/>
            <a:ext cx="110"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nvGrpSpPr>
          <xdr:cNvPr id="242" name="Group 758"/>
          <xdr:cNvGrpSpPr>
            <a:grpSpLocks/>
          </xdr:cNvGrpSpPr>
        </xdr:nvGrpSpPr>
        <xdr:grpSpPr bwMode="auto">
          <a:xfrm>
            <a:off x="1107" y="1223"/>
            <a:ext cx="35" cy="32"/>
            <a:chOff x="1127" y="1302"/>
            <a:chExt cx="35" cy="33"/>
          </a:xfrm>
        </xdr:grpSpPr>
        <xdr:sp macro="" textlink="">
          <xdr:nvSpPr>
            <xdr:cNvPr id="301" name="Rectangle 759"/>
            <xdr:cNvSpPr>
              <a:spLocks noChangeArrowheads="1"/>
            </xdr:cNvSpPr>
          </xdr:nvSpPr>
          <xdr:spPr bwMode="auto">
            <a:xfrm>
              <a:off x="1127" y="1302"/>
              <a:ext cx="35" cy="33"/>
            </a:xfrm>
            <a:prstGeom prst="rect">
              <a:avLst/>
            </a:prstGeom>
            <a:noFill/>
            <a:ln w="3175">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2" name="Line 760"/>
            <xdr:cNvSpPr>
              <a:spLocks noChangeShapeType="1"/>
            </xdr:cNvSpPr>
          </xdr:nvSpPr>
          <xdr:spPr bwMode="auto">
            <a:xfrm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3" name="Line 761"/>
            <xdr:cNvSpPr>
              <a:spLocks noChangeShapeType="1"/>
            </xdr:cNvSpPr>
          </xdr:nvSpPr>
          <xdr:spPr bwMode="auto">
            <a:xfrm flipH="1"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sp macro="" textlink="">
        <xdr:nvSpPr>
          <xdr:cNvPr id="243" name="Line 762"/>
          <xdr:cNvSpPr>
            <a:spLocks noChangeShapeType="1"/>
          </xdr:cNvSpPr>
        </xdr:nvSpPr>
        <xdr:spPr bwMode="auto">
          <a:xfrm>
            <a:off x="1118" y="1236"/>
            <a:ext cx="11"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4" name="AutoShape 763"/>
          <xdr:cNvSpPr>
            <a:spLocks noChangeArrowheads="1"/>
          </xdr:cNvSpPr>
        </xdr:nvSpPr>
        <xdr:spPr bwMode="auto">
          <a:xfrm rot="-30627468">
            <a:off x="1126" y="1233"/>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5" name="Line 764"/>
          <xdr:cNvSpPr>
            <a:spLocks noChangeShapeType="1"/>
          </xdr:cNvSpPr>
        </xdr:nvSpPr>
        <xdr:spPr bwMode="auto">
          <a:xfrm>
            <a:off x="1137" y="1236"/>
            <a:ext cx="87"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6" name="Line 765"/>
          <xdr:cNvSpPr>
            <a:spLocks noChangeShapeType="1"/>
          </xdr:cNvSpPr>
        </xdr:nvSpPr>
        <xdr:spPr bwMode="auto">
          <a:xfrm>
            <a:off x="1124" y="1236"/>
            <a:ext cx="0" cy="7"/>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7" name="Line 766"/>
          <xdr:cNvSpPr>
            <a:spLocks noChangeShapeType="1"/>
          </xdr:cNvSpPr>
        </xdr:nvSpPr>
        <xdr:spPr bwMode="auto">
          <a:xfrm>
            <a:off x="1014" y="1236"/>
            <a:ext cx="96"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8" name="Line 767"/>
          <xdr:cNvSpPr>
            <a:spLocks noChangeShapeType="1"/>
          </xdr:cNvSpPr>
        </xdr:nvSpPr>
        <xdr:spPr bwMode="auto">
          <a:xfrm>
            <a:off x="1124" y="1251"/>
            <a:ext cx="0" cy="9"/>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49" name="Line 768"/>
          <xdr:cNvSpPr>
            <a:spLocks noChangeShapeType="1"/>
          </xdr:cNvSpPr>
        </xdr:nvSpPr>
        <xdr:spPr bwMode="auto">
          <a:xfrm>
            <a:off x="1242" y="1236"/>
            <a:ext cx="0" cy="1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0" name="Line 769"/>
          <xdr:cNvSpPr>
            <a:spLocks noChangeShapeType="1"/>
          </xdr:cNvSpPr>
        </xdr:nvSpPr>
        <xdr:spPr bwMode="auto">
          <a:xfrm>
            <a:off x="1234" y="1236"/>
            <a:ext cx="1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1" name="AutoShape 770"/>
          <xdr:cNvSpPr>
            <a:spLocks noChangeArrowheads="1"/>
          </xdr:cNvSpPr>
        </xdr:nvSpPr>
        <xdr:spPr bwMode="auto">
          <a:xfrm rot="-19827620">
            <a:off x="1227" y="1277"/>
            <a:ext cx="10" cy="8"/>
          </a:xfrm>
          <a:prstGeom prst="triangle">
            <a:avLst>
              <a:gd name="adj" fmla="val 55074"/>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2" name="Line 771"/>
          <xdr:cNvSpPr>
            <a:spLocks noChangeShapeType="1"/>
          </xdr:cNvSpPr>
        </xdr:nvSpPr>
        <xdr:spPr bwMode="auto">
          <a:xfrm>
            <a:off x="1236" y="1255"/>
            <a:ext cx="12"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3" name="Line 772"/>
          <xdr:cNvSpPr>
            <a:spLocks noChangeShapeType="1"/>
          </xdr:cNvSpPr>
        </xdr:nvSpPr>
        <xdr:spPr bwMode="auto">
          <a:xfrm>
            <a:off x="1236" y="1250"/>
            <a:ext cx="12"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4" name="Rectangle 773"/>
          <xdr:cNvSpPr>
            <a:spLocks noChangeArrowheads="1"/>
          </xdr:cNvSpPr>
        </xdr:nvSpPr>
        <xdr:spPr bwMode="auto">
          <a:xfrm>
            <a:off x="1253" y="1230"/>
            <a:ext cx="31" cy="13"/>
          </a:xfrm>
          <a:prstGeom prst="rect">
            <a:avLst/>
          </a:prstGeom>
          <a:noFill/>
          <a:ln w="127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5" name="AutoShape 774"/>
          <xdr:cNvSpPr>
            <a:spLocks noChangeArrowheads="1"/>
          </xdr:cNvSpPr>
        </xdr:nvSpPr>
        <xdr:spPr bwMode="auto">
          <a:xfrm>
            <a:off x="1255" y="1231"/>
            <a:ext cx="29" cy="12"/>
          </a:xfrm>
          <a:prstGeom prst="triangle">
            <a:avLst>
              <a:gd name="adj" fmla="val 100000"/>
            </a:avLst>
          </a:prstGeom>
          <a:solidFill>
            <a:srgbClr xmlns:mc="http://schemas.openxmlformats.org/markup-compatibility/2006" xmlns:a14="http://schemas.microsoft.com/office/drawing/2010/main" val="000000" mc:Ignorable="a14" a14:legacySpreadsheetColorIndex="8"/>
          </a:solidFill>
          <a:ln w="127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6" name="AutoShape 775"/>
          <xdr:cNvSpPr>
            <a:spLocks noChangeArrowheads="1"/>
          </xdr:cNvSpPr>
        </xdr:nvSpPr>
        <xdr:spPr bwMode="auto">
          <a:xfrm flipV="1">
            <a:off x="1119" y="1243"/>
            <a:ext cx="10" cy="8"/>
          </a:xfrm>
          <a:prstGeom prst="triangle">
            <a:avLst>
              <a:gd name="adj" fmla="val 50449"/>
            </a:avLst>
          </a:prstGeom>
          <a:noFill/>
          <a:ln w="317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7" name="Line 776"/>
          <xdr:cNvSpPr>
            <a:spLocks noChangeShapeType="1"/>
          </xdr:cNvSpPr>
        </xdr:nvSpPr>
        <xdr:spPr bwMode="auto">
          <a:xfrm>
            <a:off x="1014" y="1259"/>
            <a:ext cx="0" cy="11"/>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58" name="Text Box 777"/>
          <xdr:cNvSpPr txBox="1">
            <a:spLocks noChangeArrowheads="1"/>
          </xdr:cNvSpPr>
        </xdr:nvSpPr>
        <xdr:spPr bwMode="auto">
          <a:xfrm>
            <a:off x="1245" y="1243"/>
            <a:ext cx="51"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FF"/>
                </a:solidFill>
                <a:latin typeface="ＭＳ Ｐゴシック"/>
                <a:ea typeface="ＭＳ Ｐゴシック"/>
              </a:rPr>
              <a:t>C</a:t>
            </a:r>
            <a:r>
              <a:rPr lang="ja-JP" altLang="en-US" sz="600" b="0" i="0" u="none" strike="noStrike" baseline="0">
                <a:solidFill>
                  <a:srgbClr val="0000FF"/>
                </a:solidFill>
                <a:latin typeface="ＭＳ Ｐゴシック"/>
                <a:ea typeface="ＭＳ Ｐゴシック"/>
              </a:rPr>
              <a:t>Ｌ２</a:t>
            </a:r>
          </a:p>
        </xdr:txBody>
      </xdr:sp>
      <xdr:sp macro="" textlink="" fLocksText="0">
        <xdr:nvSpPr>
          <xdr:cNvPr id="259" name="Text Box 778"/>
          <xdr:cNvSpPr txBox="1">
            <a:spLocks noChangeArrowheads="1"/>
          </xdr:cNvSpPr>
        </xdr:nvSpPr>
        <xdr:spPr bwMode="auto">
          <a:xfrm>
            <a:off x="1245" y="1198"/>
            <a:ext cx="50"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FF"/>
                </a:solidFill>
                <a:latin typeface="ＭＳ Ｐゴシック"/>
                <a:ea typeface="ＭＳ Ｐゴシック"/>
              </a:rPr>
              <a:t>C</a:t>
            </a:r>
            <a:r>
              <a:rPr lang="ja-JP" altLang="en-US" sz="600" b="0" i="0" u="none" strike="noStrike" baseline="0">
                <a:solidFill>
                  <a:srgbClr val="0000FF"/>
                </a:solidFill>
                <a:latin typeface="ＭＳ Ｐゴシック"/>
                <a:ea typeface="ＭＳ Ｐゴシック"/>
              </a:rPr>
              <a:t>Ｌ１</a:t>
            </a:r>
          </a:p>
        </xdr:txBody>
      </xdr:sp>
      <xdr:sp macro="" textlink="" fLocksText="0">
        <xdr:nvSpPr>
          <xdr:cNvPr id="260" name="Text Box 779"/>
          <xdr:cNvSpPr txBox="1">
            <a:spLocks noChangeArrowheads="1"/>
          </xdr:cNvSpPr>
        </xdr:nvSpPr>
        <xdr:spPr bwMode="auto">
          <a:xfrm>
            <a:off x="909" y="1278"/>
            <a:ext cx="36"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FF"/>
                </a:solidFill>
                <a:latin typeface="ＭＳ Ｐゴシック"/>
                <a:ea typeface="ＭＳ Ｐゴシック"/>
              </a:rPr>
              <a:t>C</a:t>
            </a:r>
            <a:r>
              <a:rPr lang="ja-JP" altLang="en-US" sz="700" b="0" i="0" u="none" strike="noStrike" baseline="0">
                <a:solidFill>
                  <a:srgbClr val="0000FF"/>
                </a:solidFill>
                <a:latin typeface="ＭＳ Ｐゴシック"/>
                <a:ea typeface="ＭＳ Ｐゴシック"/>
              </a:rPr>
              <a:t>Ｒ</a:t>
            </a:r>
          </a:p>
        </xdr:txBody>
      </xdr:sp>
      <xdr:sp macro="" textlink="" fLocksText="0">
        <xdr:nvSpPr>
          <xdr:cNvPr id="261" name="Text Box 780"/>
          <xdr:cNvSpPr txBox="1">
            <a:spLocks noChangeArrowheads="1"/>
          </xdr:cNvSpPr>
        </xdr:nvSpPr>
        <xdr:spPr bwMode="auto">
          <a:xfrm>
            <a:off x="1151" y="1262"/>
            <a:ext cx="8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C</a:t>
            </a:r>
            <a:r>
              <a:rPr lang="ja-JP" altLang="en-US" sz="1000" b="1" i="0" u="none" strike="noStrike" baseline="0">
                <a:solidFill>
                  <a:srgbClr val="000000"/>
                </a:solidFill>
                <a:latin typeface="ＭＳ Ｐゴシック"/>
                <a:ea typeface="ＭＳ Ｐゴシック"/>
              </a:rPr>
              <a:t>ａｂｌｅ</a:t>
            </a:r>
            <a:r>
              <a:rPr lang="ja-JP" altLang="en-US" sz="600" b="0" i="0" u="none" strike="noStrike" baseline="0">
                <a:solidFill>
                  <a:srgbClr val="000000"/>
                </a:solidFill>
                <a:latin typeface="ＭＳ Ｐゴシック"/>
                <a:ea typeface="ＭＳ Ｐゴシック"/>
              </a:rPr>
              <a:t>－２</a:t>
            </a:r>
            <a:r>
              <a:rPr lang="ja-JP" altLang="en-US" sz="800" b="0" i="0" u="none" strike="noStrike" baseline="0">
                <a:solidFill>
                  <a:srgbClr val="000000"/>
                </a:solidFill>
                <a:latin typeface="ＭＳ Ｐゴシック"/>
                <a:ea typeface="ＭＳ Ｐゴシック"/>
              </a:rPr>
              <a:t>ｎ</a:t>
            </a:r>
          </a:p>
        </xdr:txBody>
      </xdr:sp>
      <xdr:sp macro="" textlink="" fLocksText="0">
        <xdr:nvSpPr>
          <xdr:cNvPr id="262" name="Text Box 781"/>
          <xdr:cNvSpPr txBox="1">
            <a:spLocks noChangeArrowheads="1"/>
          </xdr:cNvSpPr>
        </xdr:nvSpPr>
        <xdr:spPr bwMode="auto">
          <a:xfrm>
            <a:off x="1151" y="1172"/>
            <a:ext cx="8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C</a:t>
            </a:r>
            <a:r>
              <a:rPr lang="ja-JP" altLang="en-US" sz="1000" b="1" i="0" u="none" strike="noStrike" baseline="0">
                <a:solidFill>
                  <a:srgbClr val="000000"/>
                </a:solidFill>
                <a:latin typeface="ＭＳ Ｐゴシック"/>
                <a:ea typeface="ＭＳ Ｐゴシック"/>
              </a:rPr>
              <a:t>ａｂｌｅ</a:t>
            </a:r>
            <a:r>
              <a:rPr lang="ja-JP" altLang="en-US" sz="600" b="0" i="0" u="none" strike="noStrike" baseline="0">
                <a:solidFill>
                  <a:srgbClr val="000000"/>
                </a:solidFill>
                <a:latin typeface="ＭＳ Ｐゴシック"/>
                <a:ea typeface="ＭＳ Ｐゴシック"/>
              </a:rPr>
              <a:t>－２１</a:t>
            </a:r>
          </a:p>
        </xdr:txBody>
      </xdr:sp>
      <xdr:sp macro="" textlink="" fLocksText="0">
        <xdr:nvSpPr>
          <xdr:cNvPr id="263" name="Text Box 782"/>
          <xdr:cNvSpPr txBox="1">
            <a:spLocks noChangeArrowheads="1"/>
          </xdr:cNvSpPr>
        </xdr:nvSpPr>
        <xdr:spPr bwMode="auto">
          <a:xfrm>
            <a:off x="1022" y="1195"/>
            <a:ext cx="8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C</a:t>
            </a:r>
            <a:r>
              <a:rPr lang="ja-JP" altLang="en-US" sz="1000" b="1" i="0" u="none" strike="noStrike" baseline="0">
                <a:solidFill>
                  <a:srgbClr val="000000"/>
                </a:solidFill>
                <a:latin typeface="ＭＳ Ｐゴシック"/>
                <a:ea typeface="ＭＳ Ｐゴシック"/>
              </a:rPr>
              <a:t>ａｂｌｅ</a:t>
            </a:r>
            <a:r>
              <a:rPr lang="ja-JP" altLang="en-US" sz="600" b="0" i="0" u="none" strike="noStrike" baseline="0">
                <a:solidFill>
                  <a:srgbClr val="000000"/>
                </a:solidFill>
                <a:latin typeface="ＭＳ Ｐゴシック"/>
                <a:ea typeface="ＭＳ Ｐゴシック"/>
              </a:rPr>
              <a:t>－１２</a:t>
            </a:r>
            <a:endParaRPr lang="ja-JP" altLang="en-US" sz="700" b="0" i="0" u="none" strike="noStrike" baseline="0">
              <a:solidFill>
                <a:srgbClr val="000000"/>
              </a:solidFill>
              <a:latin typeface="ＭＳ Ｐゴシック"/>
              <a:ea typeface="ＭＳ Ｐゴシック"/>
            </a:endParaRPr>
          </a:p>
          <a:p>
            <a:pPr algn="l" rtl="0">
              <a:defRPr sz="1000"/>
            </a:pPr>
            <a:endParaRPr lang="ja-JP" altLang="en-US" sz="700" b="0" i="0" u="none" strike="noStrike" baseline="0">
              <a:solidFill>
                <a:srgbClr val="000000"/>
              </a:solidFill>
              <a:latin typeface="ＭＳ Ｐゴシック"/>
              <a:ea typeface="ＭＳ Ｐゴシック"/>
            </a:endParaRPr>
          </a:p>
        </xdr:txBody>
      </xdr:sp>
      <xdr:sp macro="" textlink="" fLocksText="0">
        <xdr:nvSpPr>
          <xdr:cNvPr id="264" name="Text Box 783"/>
          <xdr:cNvSpPr txBox="1">
            <a:spLocks noChangeArrowheads="1"/>
          </xdr:cNvSpPr>
        </xdr:nvSpPr>
        <xdr:spPr bwMode="auto">
          <a:xfrm>
            <a:off x="1022" y="1239"/>
            <a:ext cx="8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C</a:t>
            </a:r>
            <a:r>
              <a:rPr lang="ja-JP" altLang="en-US" sz="1000" b="1" i="0" u="none" strike="noStrike" baseline="0">
                <a:solidFill>
                  <a:srgbClr val="000000"/>
                </a:solidFill>
                <a:latin typeface="ＭＳ Ｐゴシック"/>
                <a:ea typeface="ＭＳ Ｐゴシック"/>
              </a:rPr>
              <a:t>ａｂｌｅ</a:t>
            </a:r>
            <a:r>
              <a:rPr lang="ja-JP" altLang="en-US" sz="600" b="0" i="0" u="none" strike="noStrike" baseline="0">
                <a:solidFill>
                  <a:srgbClr val="000000"/>
                </a:solidFill>
                <a:latin typeface="ＭＳ Ｐゴシック"/>
                <a:ea typeface="ＭＳ Ｐゴシック"/>
              </a:rPr>
              <a:t>－１</a:t>
            </a:r>
            <a:r>
              <a:rPr lang="ja-JP" altLang="en-US" sz="700" b="0" i="0" u="none" strike="noStrike" baseline="0">
                <a:solidFill>
                  <a:srgbClr val="000000"/>
                </a:solidFill>
                <a:latin typeface="ＭＳ Ｐゴシック"/>
                <a:ea typeface="ＭＳ Ｐゴシック"/>
              </a:rPr>
              <a:t>ｎ</a:t>
            </a:r>
          </a:p>
        </xdr:txBody>
      </xdr:sp>
      <xdr:sp macro="" textlink="" fLocksText="0">
        <xdr:nvSpPr>
          <xdr:cNvPr id="265" name="Text Box 784"/>
          <xdr:cNvSpPr txBox="1">
            <a:spLocks noChangeArrowheads="1"/>
          </xdr:cNvSpPr>
        </xdr:nvSpPr>
        <xdr:spPr bwMode="auto">
          <a:xfrm>
            <a:off x="1022" y="1139"/>
            <a:ext cx="111"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C</a:t>
            </a:r>
            <a:r>
              <a:rPr lang="ja-JP" altLang="en-US" sz="1000" b="1" i="0" u="none" strike="noStrike" baseline="0">
                <a:solidFill>
                  <a:srgbClr val="000000"/>
                </a:solidFill>
                <a:latin typeface="ＭＳ Ｐゴシック"/>
                <a:ea typeface="ＭＳ Ｐゴシック"/>
              </a:rPr>
              <a:t>ａｂｌｅ</a:t>
            </a:r>
            <a:r>
              <a:rPr lang="ja-JP" altLang="en-US" sz="600" b="0" i="0" u="none" strike="noStrike" baseline="0">
                <a:solidFill>
                  <a:srgbClr val="000000"/>
                </a:solidFill>
                <a:latin typeface="ＭＳ Ｐゴシック"/>
                <a:ea typeface="ＭＳ Ｐゴシック"/>
              </a:rPr>
              <a:t>－１１</a:t>
            </a:r>
            <a:r>
              <a:rPr lang="ja-JP" altLang="en-US" sz="1000" b="1"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a:t>
            </a:r>
          </a:p>
        </xdr:txBody>
      </xdr:sp>
      <xdr:sp macro="" textlink="" fLocksText="0">
        <xdr:nvSpPr>
          <xdr:cNvPr id="266" name="Text Box 785"/>
          <xdr:cNvSpPr txBox="1">
            <a:spLocks noChangeArrowheads="1"/>
          </xdr:cNvSpPr>
        </xdr:nvSpPr>
        <xdr:spPr bwMode="auto">
          <a:xfrm>
            <a:off x="1287" y="1228"/>
            <a:ext cx="104"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Ｌ</a:t>
            </a:r>
            <a:r>
              <a:rPr lang="ja-JP" altLang="en-US" sz="600" b="0" i="0" u="none" strike="noStrike" baseline="0">
                <a:solidFill>
                  <a:srgbClr val="0000FF"/>
                </a:solidFill>
                <a:latin typeface="ＭＳ Ｐゴシック"/>
                <a:ea typeface="ＭＳ Ｐゴシック"/>
              </a:rPr>
              <a:t>２</a:t>
            </a:r>
            <a:r>
              <a:rPr lang="ja-JP" altLang="en-US" sz="6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Ｌ２</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ｊ</a:t>
            </a:r>
            <a:r>
              <a:rPr lang="el-GR" altLang="ja-JP" sz="900" b="1" i="0" u="none" strike="noStrike" baseline="0">
                <a:solidFill>
                  <a:srgbClr val="000000"/>
                </a:solidFill>
                <a:latin typeface="ＭＳ Ｐゴシック"/>
                <a:ea typeface="ＭＳ Ｐゴシック"/>
              </a:rPr>
              <a:t>ω</a:t>
            </a:r>
            <a:r>
              <a:rPr lang="ja-JP" altLang="en-US" sz="1000" b="1" i="0" u="none" strike="noStrike" baseline="0">
                <a:solidFill>
                  <a:srgbClr val="000000"/>
                </a:solidFill>
                <a:latin typeface="ＭＳ Ｐゴシック"/>
                <a:ea typeface="ＭＳ Ｐゴシック"/>
              </a:rPr>
              <a:t>Ｌ</a:t>
            </a:r>
            <a:r>
              <a:rPr lang="ja-JP" altLang="en-US" sz="600" b="0" i="0" u="none" strike="noStrike" baseline="0">
                <a:solidFill>
                  <a:srgbClr val="000000"/>
                </a:solidFill>
                <a:latin typeface="ＭＳ Ｐ明朝"/>
                <a:ea typeface="ＭＳ Ｐ明朝"/>
              </a:rPr>
              <a:t> </a:t>
            </a:r>
            <a:r>
              <a:rPr lang="ja-JP" altLang="en-US" sz="600" b="0" i="0" u="none" strike="noStrike" baseline="0">
                <a:solidFill>
                  <a:srgbClr val="000000"/>
                </a:solidFill>
                <a:latin typeface="ＭＳ Ｐゴシック"/>
                <a:ea typeface="ＭＳ Ｐゴシック"/>
              </a:rPr>
              <a:t>Ｌ２</a:t>
            </a:r>
            <a:r>
              <a:rPr lang="en-US" altLang="ja-JP" sz="1000" b="0" i="0" u="none" strike="noStrike" baseline="0">
                <a:solidFill>
                  <a:srgbClr val="000000"/>
                </a:solidFill>
                <a:latin typeface="ＭＳ Ｐ明朝"/>
                <a:ea typeface="ＭＳ Ｐ明朝"/>
              </a:rPr>
              <a:t>)</a:t>
            </a:r>
          </a:p>
        </xdr:txBody>
      </xdr:sp>
      <xdr:sp macro="" textlink="" fLocksText="0">
        <xdr:nvSpPr>
          <xdr:cNvPr id="267" name="Text Box 786"/>
          <xdr:cNvSpPr txBox="1">
            <a:spLocks noChangeArrowheads="1"/>
          </xdr:cNvSpPr>
        </xdr:nvSpPr>
        <xdr:spPr bwMode="auto">
          <a:xfrm>
            <a:off x="1287" y="1183"/>
            <a:ext cx="104"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Ｌ</a:t>
            </a:r>
            <a:r>
              <a:rPr lang="ja-JP" altLang="en-US" sz="600" b="0" i="0" u="none" strike="noStrike" baseline="0">
                <a:solidFill>
                  <a:srgbClr val="0000FF"/>
                </a:solidFill>
                <a:latin typeface="ＭＳ Ｐゴシック"/>
                <a:ea typeface="ＭＳ Ｐゴシック"/>
              </a:rPr>
              <a:t>１ </a:t>
            </a:r>
            <a:r>
              <a:rPr lang="en-US" altLang="ja-JP"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Ｌ１</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ｊ</a:t>
            </a:r>
            <a:r>
              <a:rPr lang="el-GR" altLang="ja-JP" sz="900" b="1" i="0" u="none" strike="noStrike" baseline="0">
                <a:solidFill>
                  <a:srgbClr val="000000"/>
                </a:solidFill>
                <a:latin typeface="ＭＳ Ｐゴシック"/>
                <a:ea typeface="ＭＳ Ｐゴシック"/>
              </a:rPr>
              <a:t>ω</a:t>
            </a:r>
            <a:r>
              <a:rPr lang="ja-JP" altLang="en-US" sz="1000" b="1" i="0" u="none" strike="noStrike" baseline="0">
                <a:solidFill>
                  <a:srgbClr val="000000"/>
                </a:solidFill>
                <a:latin typeface="ＭＳ Ｐゴシック"/>
                <a:ea typeface="ＭＳ Ｐゴシック"/>
              </a:rPr>
              <a:t>Ｌ</a:t>
            </a:r>
            <a:r>
              <a:rPr lang="ja-JP" altLang="en-US" sz="600" b="0" i="0" u="none" strike="noStrike" baseline="0">
                <a:solidFill>
                  <a:srgbClr val="000000"/>
                </a:solidFill>
                <a:latin typeface="ＭＳ Ｐ明朝"/>
                <a:ea typeface="ＭＳ Ｐ明朝"/>
              </a:rPr>
              <a:t> </a:t>
            </a:r>
            <a:r>
              <a:rPr lang="ja-JP" altLang="en-US" sz="600" b="0" i="0" u="none" strike="noStrike" baseline="0">
                <a:solidFill>
                  <a:srgbClr val="000000"/>
                </a:solidFill>
                <a:latin typeface="ＭＳ Ｐゴシック"/>
                <a:ea typeface="ＭＳ Ｐゴシック"/>
              </a:rPr>
              <a:t>Ｌ１</a:t>
            </a:r>
            <a:r>
              <a:rPr lang="en-US" altLang="ja-JP" sz="1000" b="0" i="0" u="none" strike="noStrike" baseline="0">
                <a:solidFill>
                  <a:srgbClr val="000000"/>
                </a:solidFill>
                <a:latin typeface="ＭＳ Ｐ明朝"/>
                <a:ea typeface="ＭＳ Ｐ明朝"/>
              </a:rPr>
              <a:t>)</a:t>
            </a:r>
          </a:p>
        </xdr:txBody>
      </xdr:sp>
      <xdr:sp macro="" textlink="" fLocksText="0">
        <xdr:nvSpPr>
          <xdr:cNvPr id="268" name="Text Box 787"/>
          <xdr:cNvSpPr txBox="1">
            <a:spLocks noChangeArrowheads="1"/>
          </xdr:cNvSpPr>
        </xdr:nvSpPr>
        <xdr:spPr bwMode="auto">
          <a:xfrm>
            <a:off x="1287" y="1274"/>
            <a:ext cx="105"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Ｌ</a:t>
            </a:r>
            <a:r>
              <a:rPr lang="ja-JP" altLang="en-US" sz="700" b="0" i="0" u="none" strike="noStrike" baseline="0">
                <a:solidFill>
                  <a:srgbClr val="0000FF"/>
                </a:solidFill>
                <a:latin typeface="ＭＳ Ｐゴシック"/>
                <a:ea typeface="ＭＳ Ｐゴシック"/>
              </a:rPr>
              <a:t>ｎ</a:t>
            </a:r>
            <a:r>
              <a:rPr lang="ja-JP" altLang="en-US" sz="6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ｎ</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ｊ</a:t>
            </a:r>
            <a:r>
              <a:rPr lang="el-GR" altLang="ja-JP" sz="900" b="1" i="0" u="none" strike="noStrike" baseline="0">
                <a:solidFill>
                  <a:srgbClr val="000000"/>
                </a:solidFill>
                <a:latin typeface="ＭＳ Ｐゴシック"/>
                <a:ea typeface="ＭＳ Ｐゴシック"/>
              </a:rPr>
              <a:t>ω</a:t>
            </a:r>
            <a:r>
              <a:rPr lang="ja-JP" altLang="en-US" sz="1000" b="1" i="0" u="none" strike="noStrike" baseline="0">
                <a:solidFill>
                  <a:srgbClr val="000000"/>
                </a:solidFill>
                <a:latin typeface="ＭＳ Ｐゴシック"/>
                <a:ea typeface="ＭＳ Ｐゴシック"/>
              </a:rPr>
              <a:t>Ｌ</a:t>
            </a:r>
            <a:r>
              <a:rPr lang="ja-JP" altLang="en-US" sz="600" b="0" i="0" u="none" strike="noStrike" baseline="0">
                <a:solidFill>
                  <a:srgbClr val="000000"/>
                </a:solidFill>
                <a:latin typeface="ＭＳ Ｐゴシック"/>
                <a:ea typeface="ＭＳ Ｐゴシック"/>
              </a:rPr>
              <a:t> Ｌ</a:t>
            </a:r>
            <a:r>
              <a:rPr lang="ja-JP" altLang="en-US" sz="700" b="0" i="0" u="none" strike="noStrike" baseline="0">
                <a:solidFill>
                  <a:srgbClr val="000000"/>
                </a:solidFill>
                <a:latin typeface="ＭＳ Ｐゴシック"/>
                <a:ea typeface="ＭＳ Ｐゴシック"/>
              </a:rPr>
              <a:t>ｎ</a:t>
            </a:r>
            <a:r>
              <a:rPr lang="en-US" altLang="ja-JP" sz="1000" b="0" i="0" u="none" strike="noStrike" baseline="0">
                <a:solidFill>
                  <a:srgbClr val="000000"/>
                </a:solidFill>
                <a:latin typeface="ＭＳ Ｐ明朝"/>
                <a:ea typeface="ＭＳ Ｐ明朝"/>
              </a:rPr>
              <a:t>)</a:t>
            </a:r>
          </a:p>
        </xdr:txBody>
      </xdr:sp>
      <xdr:sp macro="" textlink="">
        <xdr:nvSpPr>
          <xdr:cNvPr id="269" name="Line 788"/>
          <xdr:cNvSpPr>
            <a:spLocks noChangeShapeType="1"/>
          </xdr:cNvSpPr>
        </xdr:nvSpPr>
        <xdr:spPr bwMode="auto">
          <a:xfrm flipH="1">
            <a:off x="1151" y="1150"/>
            <a:ext cx="6" cy="2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0" name="Line 789"/>
          <xdr:cNvSpPr>
            <a:spLocks noChangeShapeType="1"/>
          </xdr:cNvSpPr>
        </xdr:nvSpPr>
        <xdr:spPr bwMode="auto">
          <a:xfrm>
            <a:off x="938" y="1237"/>
            <a:ext cx="24"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1" name="AutoShape 790"/>
          <xdr:cNvSpPr>
            <a:spLocks noChangeArrowheads="1"/>
          </xdr:cNvSpPr>
        </xdr:nvSpPr>
        <xdr:spPr bwMode="auto">
          <a:xfrm rot="-30627468">
            <a:off x="1006" y="1189"/>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2" name="Line 791"/>
          <xdr:cNvSpPr>
            <a:spLocks noChangeShapeType="1"/>
          </xdr:cNvSpPr>
        </xdr:nvSpPr>
        <xdr:spPr bwMode="auto">
          <a:xfrm>
            <a:off x="1017" y="1192"/>
            <a:ext cx="93"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73" name="Text Box 792"/>
          <xdr:cNvSpPr txBox="1">
            <a:spLocks noChangeArrowheads="1"/>
          </xdr:cNvSpPr>
        </xdr:nvSpPr>
        <xdr:spPr bwMode="auto">
          <a:xfrm>
            <a:off x="983" y="1202"/>
            <a:ext cx="35" cy="1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a:t>
            </a:r>
            <a:r>
              <a:rPr lang="en-US" altLang="ja-JP" sz="600" b="0" i="0" u="none" strike="noStrike" baseline="0">
                <a:solidFill>
                  <a:srgbClr val="000000"/>
                </a:solidFill>
                <a:latin typeface="ＭＳ Ｐゴシック"/>
                <a:ea typeface="ＭＳ Ｐゴシック"/>
              </a:rPr>
              <a:t>0</a:t>
            </a:r>
            <a:r>
              <a:rPr lang="ja-JP" altLang="en-US" sz="600" b="0" i="0" u="none" strike="noStrike" baseline="0">
                <a:solidFill>
                  <a:srgbClr val="000000"/>
                </a:solidFill>
                <a:latin typeface="ＭＳ Ｐゴシック"/>
                <a:ea typeface="ＭＳ Ｐゴシック"/>
              </a:rPr>
              <a:t>１</a:t>
            </a:r>
          </a:p>
        </xdr:txBody>
      </xdr:sp>
      <xdr:sp macro="" textlink="">
        <xdr:nvSpPr>
          <xdr:cNvPr id="274" name="Line 793"/>
          <xdr:cNvSpPr>
            <a:spLocks noChangeShapeType="1"/>
          </xdr:cNvSpPr>
        </xdr:nvSpPr>
        <xdr:spPr bwMode="auto">
          <a:xfrm>
            <a:off x="961" y="1159"/>
            <a:ext cx="47"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5" name="Oval 794"/>
          <xdr:cNvSpPr>
            <a:spLocks noChangeArrowheads="1"/>
          </xdr:cNvSpPr>
        </xdr:nvSpPr>
        <xdr:spPr bwMode="auto">
          <a:xfrm>
            <a:off x="900" y="1177"/>
            <a:ext cx="29" cy="29"/>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6" name="AutoShape 795"/>
          <xdr:cNvSpPr>
            <a:spLocks noChangeArrowheads="1"/>
          </xdr:cNvSpPr>
        </xdr:nvSpPr>
        <xdr:spPr bwMode="auto">
          <a:xfrm rot="-19827620">
            <a:off x="1227" y="1231"/>
            <a:ext cx="10" cy="8"/>
          </a:xfrm>
          <a:prstGeom prst="triangle">
            <a:avLst>
              <a:gd name="adj" fmla="val 55074"/>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7" name="AutoShape 796"/>
          <xdr:cNvSpPr>
            <a:spLocks noChangeArrowheads="1"/>
          </xdr:cNvSpPr>
        </xdr:nvSpPr>
        <xdr:spPr bwMode="auto">
          <a:xfrm rot="-30627468">
            <a:off x="1126" y="1189"/>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8" name="AutoShape 797"/>
          <xdr:cNvSpPr>
            <a:spLocks noChangeArrowheads="1"/>
          </xdr:cNvSpPr>
        </xdr:nvSpPr>
        <xdr:spPr bwMode="auto">
          <a:xfrm rot="-19827620">
            <a:off x="1111" y="1276"/>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9" name="AutoShape 798"/>
          <xdr:cNvSpPr>
            <a:spLocks noChangeArrowheads="1"/>
          </xdr:cNvSpPr>
        </xdr:nvSpPr>
        <xdr:spPr bwMode="auto">
          <a:xfrm rot="-19827620">
            <a:off x="1111" y="1186"/>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0" name="Line 799"/>
          <xdr:cNvSpPr>
            <a:spLocks noChangeShapeType="1"/>
          </xdr:cNvSpPr>
        </xdr:nvSpPr>
        <xdr:spPr bwMode="auto">
          <a:xfrm>
            <a:off x="945" y="1192"/>
            <a:ext cx="64"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81" name="Text Box 800"/>
          <xdr:cNvSpPr txBox="1">
            <a:spLocks noChangeArrowheads="1"/>
          </xdr:cNvSpPr>
        </xdr:nvSpPr>
        <xdr:spPr bwMode="auto">
          <a:xfrm>
            <a:off x="905" y="1203"/>
            <a:ext cx="3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ja-JP" altLang="en-US" sz="1000" b="1" i="0" u="none" strike="noStrike" baseline="0">
                <a:solidFill>
                  <a:srgbClr val="0000FF"/>
                </a:solidFill>
                <a:latin typeface="ＭＳ Ｐゴシック"/>
                <a:ea typeface="ＭＳ Ｐゴシック"/>
              </a:rPr>
              <a:t>ＴＲ</a:t>
            </a:r>
          </a:p>
        </xdr:txBody>
      </xdr:sp>
      <xdr:sp macro="" textlink="">
        <xdr:nvSpPr>
          <xdr:cNvPr id="282" name="Line 801"/>
          <xdr:cNvSpPr>
            <a:spLocks noChangeShapeType="1"/>
          </xdr:cNvSpPr>
        </xdr:nvSpPr>
        <xdr:spPr bwMode="auto">
          <a:xfrm>
            <a:off x="920" y="1267"/>
            <a:ext cx="0" cy="15"/>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3" name="Line 802"/>
          <xdr:cNvSpPr>
            <a:spLocks noChangeShapeType="1"/>
          </xdr:cNvSpPr>
        </xdr:nvSpPr>
        <xdr:spPr bwMode="auto">
          <a:xfrm>
            <a:off x="927" y="1267"/>
            <a:ext cx="0" cy="15"/>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84" name="Text Box 803"/>
          <xdr:cNvSpPr txBox="1">
            <a:spLocks noChangeArrowheads="1"/>
          </xdr:cNvSpPr>
        </xdr:nvSpPr>
        <xdr:spPr bwMode="auto">
          <a:xfrm>
            <a:off x="1022" y="1172"/>
            <a:ext cx="8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C</a:t>
            </a:r>
            <a:r>
              <a:rPr lang="ja-JP" altLang="en-US" sz="1000" b="1" i="0" u="none" strike="noStrike" baseline="0">
                <a:solidFill>
                  <a:srgbClr val="000000"/>
                </a:solidFill>
                <a:latin typeface="ＭＳ Ｐゴシック"/>
                <a:ea typeface="ＭＳ Ｐゴシック"/>
              </a:rPr>
              <a:t>ａｂｌｅ</a:t>
            </a:r>
            <a:r>
              <a:rPr lang="ja-JP" altLang="en-US" sz="600" b="0" i="0" u="none" strike="noStrike" baseline="0">
                <a:solidFill>
                  <a:srgbClr val="000000"/>
                </a:solidFill>
                <a:latin typeface="ＭＳ Ｐゴシック"/>
                <a:ea typeface="ＭＳ Ｐゴシック"/>
              </a:rPr>
              <a:t>－１１</a:t>
            </a:r>
          </a:p>
        </xdr:txBody>
      </xdr:sp>
      <xdr:sp macro="" textlink="" fLocksText="0">
        <xdr:nvSpPr>
          <xdr:cNvPr id="285" name="Text Box 804"/>
          <xdr:cNvSpPr txBox="1">
            <a:spLocks noChangeArrowheads="1"/>
          </xdr:cNvSpPr>
        </xdr:nvSpPr>
        <xdr:spPr bwMode="auto">
          <a:xfrm>
            <a:off x="970" y="1191"/>
            <a:ext cx="50" cy="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幹線</a:t>
            </a:r>
          </a:p>
        </xdr:txBody>
      </xdr:sp>
      <xdr:sp macro="" textlink="" fLocksText="0">
        <xdr:nvSpPr>
          <xdr:cNvPr id="286" name="Text Box 805"/>
          <xdr:cNvSpPr txBox="1">
            <a:spLocks noChangeArrowheads="1"/>
          </xdr:cNvSpPr>
        </xdr:nvSpPr>
        <xdr:spPr bwMode="auto">
          <a:xfrm>
            <a:off x="983" y="1169"/>
            <a:ext cx="35" cy="1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－ｎｎ</a:t>
            </a:r>
          </a:p>
        </xdr:txBody>
      </xdr:sp>
      <xdr:sp macro="" textlink="" fLocksText="0">
        <xdr:nvSpPr>
          <xdr:cNvPr id="287" name="Text Box 806"/>
          <xdr:cNvSpPr txBox="1">
            <a:spLocks noChangeArrowheads="1"/>
          </xdr:cNvSpPr>
        </xdr:nvSpPr>
        <xdr:spPr bwMode="auto">
          <a:xfrm>
            <a:off x="970" y="1158"/>
            <a:ext cx="50" cy="2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幹線</a:t>
            </a:r>
          </a:p>
        </xdr:txBody>
      </xdr:sp>
      <xdr:sp macro="" textlink="">
        <xdr:nvSpPr>
          <xdr:cNvPr id="288" name="Line 807"/>
          <xdr:cNvSpPr>
            <a:spLocks noChangeShapeType="1"/>
          </xdr:cNvSpPr>
        </xdr:nvSpPr>
        <xdr:spPr bwMode="auto">
          <a:xfrm flipH="1" flipV="1">
            <a:off x="961" y="1159"/>
            <a:ext cx="0" cy="117"/>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89" name="Text Box 808"/>
          <xdr:cNvSpPr txBox="1">
            <a:spLocks noChangeArrowheads="1"/>
          </xdr:cNvSpPr>
        </xdr:nvSpPr>
        <xdr:spPr bwMode="auto">
          <a:xfrm>
            <a:off x="222" y="1409"/>
            <a:ext cx="74" cy="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配電側機器</a:t>
            </a:r>
          </a:p>
        </xdr:txBody>
      </xdr:sp>
      <xdr:sp macro="" textlink="" fLocksText="0">
        <xdr:nvSpPr>
          <xdr:cNvPr id="290" name="Text Box 809"/>
          <xdr:cNvSpPr txBox="1">
            <a:spLocks noChangeArrowheads="1"/>
          </xdr:cNvSpPr>
        </xdr:nvSpPr>
        <xdr:spPr bwMode="auto">
          <a:xfrm>
            <a:off x="403" y="1409"/>
            <a:ext cx="57" cy="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低圧幹線</a:t>
            </a:r>
          </a:p>
          <a:p>
            <a:pPr algn="l" rtl="0">
              <a:defRPr sz="1000"/>
            </a:pPr>
            <a:endParaRPr lang="ja-JP" altLang="en-US" sz="800" b="0" i="0" u="none" strike="noStrike" baseline="0">
              <a:solidFill>
                <a:srgbClr val="000000"/>
              </a:solidFill>
              <a:latin typeface="ＭＳ Ｐ明朝"/>
              <a:ea typeface="ＭＳ Ｐ明朝"/>
            </a:endParaRPr>
          </a:p>
        </xdr:txBody>
      </xdr:sp>
      <xdr:sp macro="" textlink="" fLocksText="0">
        <xdr:nvSpPr>
          <xdr:cNvPr id="291" name="Text Box 810"/>
          <xdr:cNvSpPr txBox="1">
            <a:spLocks noChangeArrowheads="1"/>
          </xdr:cNvSpPr>
        </xdr:nvSpPr>
        <xdr:spPr bwMode="auto">
          <a:xfrm>
            <a:off x="1132" y="1337"/>
            <a:ext cx="26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全負荷電流</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339966"/>
                </a:solidFill>
                <a:latin typeface="ＭＳ Ｐゴシック"/>
                <a:ea typeface="ＭＳ Ｐゴシック"/>
              </a:rPr>
              <a:t>Ｉ</a:t>
            </a:r>
            <a:r>
              <a:rPr lang="ja-JP" altLang="en-US" sz="600" b="0" i="0" u="none" strike="noStrike" baseline="0">
                <a:solidFill>
                  <a:srgbClr val="339966"/>
                </a:solidFill>
                <a:latin typeface="ＭＳ Ｐゴシック"/>
                <a:ea typeface="ＭＳ Ｐゴシック"/>
              </a:rPr>
              <a:t>０１</a:t>
            </a:r>
            <a:r>
              <a:rPr lang="ja-JP" altLang="en-US"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Ｒ</a:t>
            </a:r>
            <a:r>
              <a:rPr lang="ja-JP" altLang="en-US" sz="10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　</a:t>
            </a:r>
            <a:r>
              <a:rPr lang="en-US" altLang="ja-JP" sz="900" b="0" i="0" u="none" strike="noStrike" baseline="0">
                <a:solidFill>
                  <a:srgbClr val="000000"/>
                </a:solidFill>
                <a:latin typeface="ＭＳ 明朝"/>
                <a:ea typeface="ＭＳ 明朝"/>
              </a:rPr>
              <a:t>[A]</a:t>
            </a:r>
            <a:r>
              <a:rPr lang="ja-JP" altLang="en-US" sz="1000" b="0" i="0" u="none" strike="noStrike" baseline="0">
                <a:solidFill>
                  <a:srgbClr val="000000"/>
                </a:solidFill>
                <a:latin typeface="ＭＳ 明朝"/>
                <a:ea typeface="ＭＳ 明朝"/>
              </a:rPr>
              <a:t>　</a:t>
            </a:r>
          </a:p>
        </xdr:txBody>
      </xdr:sp>
      <xdr:sp macro="" textlink="" fLocksText="0">
        <xdr:nvSpPr>
          <xdr:cNvPr id="292" name="Text Box 812"/>
          <xdr:cNvSpPr txBox="1">
            <a:spLocks noChangeArrowheads="1"/>
          </xdr:cNvSpPr>
        </xdr:nvSpPr>
        <xdr:spPr bwMode="auto">
          <a:xfrm>
            <a:off x="891" y="1359"/>
            <a:ext cx="432"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分岐部電圧</a:t>
            </a: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Ｂ１</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１３</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明朝"/>
                <a:ea typeface="ＭＳ 明朝"/>
              </a:rPr>
              <a:t>／</a:t>
            </a:r>
            <a:r>
              <a:rPr lang="en-US" altLang="ja-JP"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０２</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       </a:t>
            </a:r>
            <a:r>
              <a:rPr lang="ja-JP" altLang="en-US" sz="7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[V]</a:t>
            </a:r>
            <a:r>
              <a:rPr lang="ja-JP" altLang="en-US" sz="600" b="0" i="0" u="none" strike="noStrike" baseline="0">
                <a:solidFill>
                  <a:srgbClr val="000000"/>
                </a:solidFill>
                <a:latin typeface="ＭＳ Ｐゴシック"/>
                <a:ea typeface="ＭＳ Ｐゴシック"/>
              </a:rPr>
              <a:t>　</a:t>
            </a:r>
          </a:p>
        </xdr:txBody>
      </xdr:sp>
      <xdr:sp macro="" textlink="" fLocksText="0">
        <xdr:nvSpPr>
          <xdr:cNvPr id="293" name="Text Box 813"/>
          <xdr:cNvSpPr txBox="1">
            <a:spLocks noChangeArrowheads="1"/>
          </xdr:cNvSpPr>
        </xdr:nvSpPr>
        <xdr:spPr bwMode="auto">
          <a:xfrm>
            <a:off x="891" y="1375"/>
            <a:ext cx="42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負荷側電圧</a:t>
            </a: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Ｌ１</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１３</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１１</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明朝"/>
                <a:ea typeface="ＭＳ 明朝"/>
              </a:rPr>
              <a:t>／</a:t>
            </a:r>
            <a:r>
              <a:rPr lang="en-US" altLang="ja-JP"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０２</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１２</a:t>
            </a:r>
            <a:r>
              <a:rPr lang="ja-JP" altLang="en-US" sz="10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[V]</a:t>
            </a:r>
            <a:r>
              <a:rPr lang="ja-JP" altLang="en-US" sz="600" b="0" i="0" u="none" strike="noStrike" baseline="0">
                <a:solidFill>
                  <a:srgbClr val="000000"/>
                </a:solidFill>
                <a:latin typeface="ＭＳ Ｐゴシック"/>
                <a:ea typeface="ＭＳ Ｐゴシック"/>
              </a:rPr>
              <a:t>　</a:t>
            </a:r>
          </a:p>
        </xdr:txBody>
      </xdr:sp>
      <xdr:sp macro="" textlink="" fLocksText="0">
        <xdr:nvSpPr>
          <xdr:cNvPr id="294" name="Text Box 814"/>
          <xdr:cNvSpPr txBox="1">
            <a:spLocks noChangeArrowheads="1"/>
          </xdr:cNvSpPr>
        </xdr:nvSpPr>
        <xdr:spPr bwMode="auto">
          <a:xfrm>
            <a:off x="891" y="1390"/>
            <a:ext cx="4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負荷電流</a:t>
            </a:r>
            <a:r>
              <a:rPr lang="en-US" altLang="ja-JP" sz="1000" b="0" i="0" u="none" strike="noStrike" baseline="0">
                <a:solidFill>
                  <a:srgbClr val="000000"/>
                </a:solidFill>
                <a:latin typeface="ＭＳ 明朝"/>
                <a:ea typeface="ＭＳ 明朝"/>
              </a:rPr>
              <a:t>-1</a:t>
            </a:r>
            <a:r>
              <a:rPr lang="en-US" altLang="ja-JP" sz="300" b="0"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Ｐゴシック"/>
                <a:ea typeface="ＭＳ Ｐゴシック"/>
              </a:rPr>
              <a:t> </a:t>
            </a:r>
            <a:r>
              <a:rPr lang="ja-JP" altLang="en-US" sz="1000" b="1" i="0" u="none" strike="noStrike" baseline="0">
                <a:solidFill>
                  <a:srgbClr val="339966"/>
                </a:solidFill>
                <a:latin typeface="ＭＳ Ｐゴシック"/>
                <a:ea typeface="ＭＳ Ｐゴシック"/>
              </a:rPr>
              <a:t>Ｉ</a:t>
            </a:r>
            <a:r>
              <a:rPr lang="ja-JP" altLang="en-US"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Ｌ１</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１３</a:t>
            </a:r>
            <a:r>
              <a:rPr lang="en-US" altLang="ja-JP"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明朝"/>
                <a:ea typeface="ＭＳ 明朝"/>
              </a:rPr>
              <a:t>／</a:t>
            </a:r>
            <a:r>
              <a:rPr lang="en-US" altLang="ja-JP"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０２</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１２</a:t>
            </a:r>
            <a:r>
              <a:rPr lang="ja-JP" altLang="en-US"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pitchFamily="17" charset="-128"/>
                <a:ea typeface="ＭＳ 明朝" pitchFamily="17" charset="-128"/>
              </a:rPr>
              <a:t>   </a:t>
            </a:r>
            <a:r>
              <a:rPr lang="ja-JP" altLang="en-US" sz="800" b="0" i="0" u="none" strike="noStrike" baseline="0">
                <a:solidFill>
                  <a:srgbClr val="000000"/>
                </a:solidFill>
                <a:latin typeface="ＭＳ 明朝" pitchFamily="17" charset="-128"/>
                <a:ea typeface="ＭＳ 明朝" pitchFamily="17" charset="-128"/>
              </a:rPr>
              <a:t>  </a:t>
            </a:r>
            <a:r>
              <a:rPr lang="en-US" altLang="ja-JP" sz="900" b="0" i="0" u="none" strike="noStrike" baseline="0">
                <a:solidFill>
                  <a:srgbClr val="000000"/>
                </a:solidFill>
                <a:latin typeface="ＭＳ 明朝"/>
                <a:ea typeface="ＭＳ 明朝"/>
              </a:rPr>
              <a:t>[A]</a:t>
            </a:r>
            <a:r>
              <a:rPr lang="ja-JP" altLang="en-US" sz="600" b="0" i="0" u="none" strike="noStrike" baseline="0">
                <a:solidFill>
                  <a:srgbClr val="000000"/>
                </a:solidFill>
                <a:latin typeface="ＭＳ Ｐゴシック"/>
                <a:ea typeface="ＭＳ Ｐゴシック"/>
              </a:rPr>
              <a:t>　</a:t>
            </a:r>
          </a:p>
        </xdr:txBody>
      </xdr:sp>
      <xdr:sp macro="" textlink="" fLocksText="0">
        <xdr:nvSpPr>
          <xdr:cNvPr id="295" name="Text Box 815"/>
          <xdr:cNvSpPr txBox="1">
            <a:spLocks noChangeArrowheads="1"/>
          </xdr:cNvSpPr>
        </xdr:nvSpPr>
        <xdr:spPr bwMode="auto">
          <a:xfrm>
            <a:off x="891" y="1336"/>
            <a:ext cx="22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配電側電圧</a:t>
            </a: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 </a:t>
            </a:r>
            <a:r>
              <a:rPr lang="ja-JP" altLang="en-US" sz="1000" b="1" i="0" u="none" strike="noStrike" baseline="0">
                <a:solidFill>
                  <a:srgbClr val="000000"/>
                </a:solidFill>
                <a:latin typeface="ＭＳ Ｐゴシック"/>
                <a:ea typeface="ＭＳ Ｐゴシック"/>
              </a:rPr>
              <a:t>Ｉ</a:t>
            </a:r>
            <a:r>
              <a:rPr lang="ja-JP" altLang="en-US" sz="600" b="0" i="0" u="none" strike="noStrike" baseline="0">
                <a:solidFill>
                  <a:srgbClr val="000000"/>
                </a:solidFill>
                <a:latin typeface="ＭＳ Ｐゴシック"/>
                <a:ea typeface="ＭＳ Ｐゴシック"/>
              </a:rPr>
              <a:t>０２</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　</a:t>
            </a:r>
            <a:r>
              <a:rPr lang="en-US" altLang="ja-JP" sz="900" b="0" i="0" u="none" strike="noStrike" baseline="0">
                <a:solidFill>
                  <a:srgbClr val="000000"/>
                </a:solidFill>
                <a:latin typeface="ＭＳ 明朝"/>
                <a:ea typeface="ＭＳ 明朝"/>
              </a:rPr>
              <a:t>[V]</a:t>
            </a:r>
          </a:p>
        </xdr:txBody>
      </xdr:sp>
      <xdr:sp macro="" textlink="" fLocksText="0">
        <xdr:nvSpPr>
          <xdr:cNvPr id="296" name="Text Box 816"/>
          <xdr:cNvSpPr txBox="1">
            <a:spLocks noChangeArrowheads="1"/>
          </xdr:cNvSpPr>
        </xdr:nvSpPr>
        <xdr:spPr bwMode="auto">
          <a:xfrm>
            <a:off x="1026" y="1309"/>
            <a:ext cx="92"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低圧幹線</a:t>
            </a:r>
          </a:p>
        </xdr:txBody>
      </xdr:sp>
      <xdr:sp macro="" textlink="" fLocksText="0">
        <xdr:nvSpPr>
          <xdr:cNvPr id="297" name="Text Box 817"/>
          <xdr:cNvSpPr txBox="1">
            <a:spLocks noChangeArrowheads="1"/>
          </xdr:cNvSpPr>
        </xdr:nvSpPr>
        <xdr:spPr bwMode="auto">
          <a:xfrm>
            <a:off x="1143" y="1309"/>
            <a:ext cx="97"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低圧分岐幹線</a:t>
            </a:r>
          </a:p>
        </xdr:txBody>
      </xdr:sp>
      <xdr:sp macro="" textlink="" fLocksText="0">
        <xdr:nvSpPr>
          <xdr:cNvPr id="298" name="Text Box 818"/>
          <xdr:cNvSpPr txBox="1">
            <a:spLocks noChangeArrowheads="1"/>
          </xdr:cNvSpPr>
        </xdr:nvSpPr>
        <xdr:spPr bwMode="auto">
          <a:xfrm>
            <a:off x="1265" y="1309"/>
            <a:ext cx="91"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分電盤</a:t>
            </a:r>
          </a:p>
        </xdr:txBody>
      </xdr:sp>
      <xdr:sp macro="" textlink="" fLocksText="0">
        <xdr:nvSpPr>
          <xdr:cNvPr id="299" name="Text Box 819"/>
          <xdr:cNvSpPr txBox="1">
            <a:spLocks noChangeArrowheads="1"/>
          </xdr:cNvSpPr>
        </xdr:nvSpPr>
        <xdr:spPr bwMode="auto">
          <a:xfrm>
            <a:off x="908" y="1309"/>
            <a:ext cx="91"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配電側機器</a:t>
            </a:r>
          </a:p>
        </xdr:txBody>
      </xdr:sp>
      <xdr:sp macro="" textlink="" fLocksText="0">
        <xdr:nvSpPr>
          <xdr:cNvPr id="300" name="Text Box 820"/>
          <xdr:cNvSpPr txBox="1">
            <a:spLocks noChangeArrowheads="1"/>
          </xdr:cNvSpPr>
        </xdr:nvSpPr>
        <xdr:spPr bwMode="auto">
          <a:xfrm>
            <a:off x="159" y="1132"/>
            <a:ext cx="81" cy="2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回路図</a:t>
            </a:r>
          </a:p>
        </xdr:txBody>
      </xdr:sp>
    </xdr:grpSp>
    <xdr:clientData/>
  </xdr:twoCellAnchor>
  <xdr:twoCellAnchor>
    <xdr:from>
      <xdr:col>28</xdr:col>
      <xdr:colOff>9525</xdr:colOff>
      <xdr:row>65</xdr:row>
      <xdr:rowOff>47625</xdr:rowOff>
    </xdr:from>
    <xdr:to>
      <xdr:col>37</xdr:col>
      <xdr:colOff>1743075</xdr:colOff>
      <xdr:row>76</xdr:row>
      <xdr:rowOff>219075</xdr:rowOff>
    </xdr:to>
    <xdr:sp macro="" textlink="" fLocksText="0">
      <xdr:nvSpPr>
        <xdr:cNvPr id="310" name="Text Box 827"/>
        <xdr:cNvSpPr txBox="1">
          <a:spLocks noChangeArrowheads="1"/>
        </xdr:cNvSpPr>
      </xdr:nvSpPr>
      <xdr:spPr bwMode="auto">
        <a:xfrm>
          <a:off x="13477875" y="10791825"/>
          <a:ext cx="6886575" cy="2895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Ｍｅｍｏ．</a:t>
          </a:r>
          <a:endParaRPr lang="en-US" altLang="ja-JP"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変圧器定格容量・台数、進相コンデンサの見直し</a:t>
          </a:r>
        </a:p>
        <a:p>
          <a:pPr algn="l" rtl="0">
            <a:lnSpc>
              <a:spcPts val="1300"/>
            </a:lnSpc>
            <a:defRPr sz="1000"/>
          </a:pP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No.1</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TR</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200</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KVA</a:t>
          </a:r>
          <a:r>
            <a:rPr lang="ja-JP" altLang="en-US" sz="1100" b="0" i="0" u="none" strike="noStrike" baseline="0">
              <a:solidFill>
                <a:srgbClr val="000000"/>
              </a:solidFill>
              <a:latin typeface="ＭＳ Ｐ明朝"/>
              <a:ea typeface="ＭＳ Ｐ明朝"/>
            </a:rPr>
            <a:t>　変更なし　　　　　　　　　　　変圧器負荷率 </a:t>
          </a:r>
          <a:r>
            <a:rPr lang="en-US" altLang="ja-JP" sz="1100" b="0" i="0" u="none" strike="noStrike" baseline="0">
              <a:solidFill>
                <a:srgbClr val="000000"/>
              </a:solidFill>
              <a:latin typeface="ＭＳ Ｐ明朝"/>
              <a:ea typeface="ＭＳ Ｐ明朝"/>
            </a:rPr>
            <a:t>67.20</a:t>
          </a:r>
          <a:r>
            <a:rPr lang="ja-JP" altLang="en-US" sz="1100" b="0" i="0" u="none" strike="noStrike" baseline="0">
              <a:solidFill>
                <a:srgbClr val="000000"/>
              </a:solidFill>
              <a:latin typeface="ＭＳ Ｐ明朝"/>
              <a:ea typeface="ＭＳ Ｐ明朝"/>
            </a:rPr>
            <a:t> ⇒ </a:t>
          </a:r>
          <a:r>
            <a:rPr lang="en-US" altLang="ja-JP" sz="1100" b="0" i="0" u="none" strike="noStrike" baseline="0">
              <a:solidFill>
                <a:srgbClr val="000000"/>
              </a:solidFill>
              <a:latin typeface="ＭＳ Ｐ明朝"/>
              <a:ea typeface="ＭＳ Ｐ明朝"/>
            </a:rPr>
            <a:t>57.61</a:t>
          </a: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No.2</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TR</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150</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KVA</a:t>
          </a:r>
          <a:r>
            <a:rPr lang="ja-JP" altLang="en-US" sz="1100" b="0" i="0" u="none" strike="noStrike" baseline="0">
              <a:solidFill>
                <a:srgbClr val="000000"/>
              </a:solidFill>
              <a:latin typeface="ＭＳ Ｐ明朝"/>
              <a:ea typeface="ＭＳ Ｐ明朝"/>
            </a:rPr>
            <a:t>　　 ⇒　　 </a:t>
          </a:r>
          <a:r>
            <a:rPr lang="en-US" altLang="ja-JP" sz="1100" b="0" i="0" u="none" strike="noStrike" baseline="0">
              <a:solidFill>
                <a:srgbClr val="000000"/>
              </a:solidFill>
              <a:latin typeface="ＭＳ Ｐ明朝"/>
              <a:ea typeface="ＭＳ Ｐ明朝"/>
            </a:rPr>
            <a:t>200</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KVA</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46.34</a:t>
          </a:r>
          <a:r>
            <a:rPr lang="ja-JP" altLang="en-US" sz="1100" b="0" i="0" u="none" strike="noStrike" baseline="0">
              <a:solidFill>
                <a:srgbClr val="000000"/>
              </a:solidFill>
              <a:latin typeface="ＭＳ Ｐ明朝"/>
              <a:ea typeface="ＭＳ Ｐ明朝"/>
            </a:rPr>
            <a:t> ⇒ </a:t>
          </a:r>
          <a:r>
            <a:rPr lang="en-US" altLang="ja-JP" sz="1100" b="0" i="0" u="none" strike="noStrike" baseline="0">
              <a:solidFill>
                <a:srgbClr val="000000"/>
              </a:solidFill>
              <a:latin typeface="ＭＳ Ｐ明朝"/>
              <a:ea typeface="ＭＳ Ｐ明朝"/>
            </a:rPr>
            <a:t>56.01</a:t>
          </a: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No.3</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TR</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150</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KVA</a:t>
          </a:r>
          <a:r>
            <a:rPr lang="ja-JP" altLang="en-US" sz="1100" b="0" i="0" u="none" strike="noStrike" baseline="0">
              <a:solidFill>
                <a:srgbClr val="000000"/>
              </a:solidFill>
              <a:latin typeface="ＭＳ Ｐ明朝"/>
              <a:ea typeface="ＭＳ Ｐ明朝"/>
            </a:rPr>
            <a:t>　取止め                                               </a:t>
          </a:r>
          <a:r>
            <a:rPr lang="en-US" altLang="ja-JP" sz="1100" b="0" i="0" u="none" strike="noStrike" baseline="0">
              <a:solidFill>
                <a:srgbClr val="000000"/>
              </a:solidFill>
              <a:latin typeface="ＭＳ Ｐ明朝"/>
              <a:ea typeface="ＭＳ Ｐ明朝"/>
            </a:rPr>
            <a:t>44.86</a:t>
          </a: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No.4</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TR</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300</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KVA</a:t>
          </a:r>
          <a:r>
            <a:rPr lang="ja-JP" altLang="en-US" sz="1100" b="0" i="0" u="none" strike="noStrike" baseline="0">
              <a:solidFill>
                <a:srgbClr val="000000"/>
              </a:solidFill>
              <a:latin typeface="ＭＳ Ｐ明朝"/>
              <a:ea typeface="ＭＳ Ｐ明朝"/>
            </a:rPr>
            <a:t>　　 ⇒　　 </a:t>
          </a:r>
          <a:r>
            <a:rPr lang="en-US" altLang="ja-JP" sz="1100" b="0" i="0" u="none" strike="noStrike" baseline="0">
              <a:solidFill>
                <a:srgbClr val="000000"/>
              </a:solidFill>
              <a:latin typeface="ＭＳ Ｐ明朝"/>
              <a:ea typeface="ＭＳ Ｐ明朝"/>
            </a:rPr>
            <a:t>500</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KVA</a:t>
          </a:r>
          <a:r>
            <a:rPr lang="ja-JP" altLang="en-US" sz="11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79.10</a:t>
          </a:r>
          <a:r>
            <a:rPr lang="ja-JP" altLang="en-US" sz="1100" b="0" i="0" u="none" strike="noStrike" baseline="0">
              <a:solidFill>
                <a:srgbClr val="000000"/>
              </a:solidFill>
              <a:latin typeface="ＭＳ Ｐ明朝"/>
              <a:ea typeface="ＭＳ Ｐ明朝"/>
            </a:rPr>
            <a:t> ⇒ </a:t>
          </a:r>
          <a:r>
            <a:rPr lang="en-US" altLang="ja-JP" sz="1100" b="0" i="0" u="none" strike="noStrike" baseline="0">
              <a:solidFill>
                <a:srgbClr val="000000"/>
              </a:solidFill>
              <a:latin typeface="ＭＳ Ｐ明朝"/>
              <a:ea typeface="ＭＳ Ｐ明朝"/>
            </a:rPr>
            <a:t>47.63</a:t>
          </a: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a:t>
          </a:r>
          <a:r>
            <a:rPr lang="en-US" altLang="ja-JP" sz="1100" b="0" i="0" baseline="0">
              <a:effectLst/>
              <a:latin typeface="ＭＳ Ｐ明朝" pitchFamily="18" charset="-128"/>
              <a:ea typeface="ＭＳ Ｐ明朝" pitchFamily="18" charset="-128"/>
              <a:cs typeface="+mn-cs"/>
            </a:rPr>
            <a:t>No.5</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TR</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300</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a:t>
          </a:r>
          <a:r>
            <a:rPr lang="ja-JP" altLang="ja-JP" sz="1100" b="0" i="0" baseline="0">
              <a:effectLst/>
              <a:latin typeface="ＭＳ Ｐ明朝" pitchFamily="18" charset="-128"/>
              <a:ea typeface="ＭＳ Ｐ明朝" pitchFamily="18" charset="-128"/>
              <a:cs typeface="+mn-cs"/>
            </a:rPr>
            <a:t>　　 ⇒　　 </a:t>
          </a:r>
          <a:r>
            <a:rPr lang="en-US" altLang="ja-JP" sz="1100" b="0" i="0" baseline="0">
              <a:effectLst/>
              <a:latin typeface="ＭＳ Ｐ明朝" pitchFamily="18" charset="-128"/>
              <a:ea typeface="ＭＳ Ｐ明朝" pitchFamily="18" charset="-128"/>
              <a:cs typeface="+mn-cs"/>
            </a:rPr>
            <a:t>500</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77.40</a:t>
          </a:r>
          <a:r>
            <a:rPr lang="ja-JP" altLang="en-US" sz="1100" b="0" i="0" baseline="0">
              <a:effectLst/>
              <a:latin typeface="ＭＳ Ｐ明朝" pitchFamily="18" charset="-128"/>
              <a:ea typeface="ＭＳ Ｐ明朝" pitchFamily="18" charset="-128"/>
              <a:cs typeface="+mn-cs"/>
            </a:rPr>
            <a:t> ⇒ </a:t>
          </a:r>
          <a:r>
            <a:rPr lang="en-US" altLang="ja-JP" sz="1100" b="0" i="0" baseline="0">
              <a:effectLst/>
              <a:latin typeface="ＭＳ Ｐ明朝" pitchFamily="18" charset="-128"/>
              <a:ea typeface="ＭＳ Ｐ明朝" pitchFamily="18" charset="-128"/>
              <a:cs typeface="+mn-cs"/>
            </a:rPr>
            <a:t>48.58</a:t>
          </a:r>
          <a:endParaRPr lang="ja-JP" altLang="en-US" sz="1100" b="0" i="0" baseline="0">
            <a:effectLst/>
            <a:latin typeface="ＭＳ Ｐ明朝" pitchFamily="18" charset="-128"/>
            <a:ea typeface="ＭＳ Ｐ明朝" pitchFamily="18" charset="-128"/>
            <a:cs typeface="+mn-cs"/>
          </a:endParaRPr>
        </a:p>
        <a:p>
          <a:pPr algn="l" rtl="0">
            <a:lnSpc>
              <a:spcPts val="1300"/>
            </a:lnSpc>
            <a:defRPr sz="1000"/>
          </a:pPr>
          <a:endParaRPr lang="ja-JP" altLang="en-US" sz="1100" b="0" i="0" u="none" strike="noStrike" baseline="0">
            <a:solidFill>
              <a:srgbClr val="000000"/>
            </a:solidFill>
            <a:effectLst/>
            <a:latin typeface="ＭＳ Ｐ明朝" pitchFamily="18" charset="-128"/>
            <a:ea typeface="ＭＳ Ｐ明朝" pitchFamily="18" charset="-128"/>
            <a:cs typeface="+mn-cs"/>
          </a:endParaRPr>
        </a:p>
        <a:p>
          <a:pPr algn="l" rtl="0">
            <a:lnSpc>
              <a:spcPts val="1300"/>
            </a:lnSpc>
            <a:defRPr sz="1000"/>
          </a:pP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u="none" strike="noStrike" baseline="0">
              <a:solidFill>
                <a:srgbClr val="000000"/>
              </a:solidFill>
              <a:effectLst/>
              <a:latin typeface="ＭＳ Ｐ明朝" pitchFamily="18" charset="-128"/>
              <a:ea typeface="ＭＳ Ｐ明朝" pitchFamily="18" charset="-128"/>
              <a:cs typeface="+mn-cs"/>
            </a:rPr>
            <a:t>No.4</a:t>
          </a: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u="none" strike="noStrike" baseline="0">
              <a:solidFill>
                <a:srgbClr val="000000"/>
              </a:solidFill>
              <a:effectLst/>
              <a:latin typeface="ＭＳ Ｐ明朝" pitchFamily="18" charset="-128"/>
              <a:ea typeface="ＭＳ Ｐ明朝" pitchFamily="18" charset="-128"/>
              <a:cs typeface="+mn-cs"/>
            </a:rPr>
            <a:t>TR</a:t>
          </a:r>
          <a:r>
            <a:rPr lang="ja-JP" altLang="en-US" sz="1100" b="0" i="0" u="none" strike="noStrike" baseline="0">
              <a:solidFill>
                <a:srgbClr val="000000"/>
              </a:solidFill>
              <a:effectLst/>
              <a:latin typeface="ＭＳ Ｐ明朝" pitchFamily="18" charset="-128"/>
              <a:ea typeface="ＭＳ Ｐ明朝" pitchFamily="18" charset="-128"/>
              <a:cs typeface="+mn-cs"/>
            </a:rPr>
            <a:t> 低圧進相コンデンサ　</a:t>
          </a:r>
          <a:r>
            <a:rPr lang="en-US" altLang="ja-JP" sz="1100" b="0" i="0" u="none" strike="noStrike" baseline="0">
              <a:solidFill>
                <a:srgbClr val="000000"/>
              </a:solidFill>
              <a:effectLst/>
              <a:latin typeface="ＭＳ Ｐ明朝" pitchFamily="18" charset="-128"/>
              <a:ea typeface="ＭＳ Ｐ明朝" pitchFamily="18" charset="-128"/>
              <a:cs typeface="+mn-cs"/>
            </a:rPr>
            <a:t>SC</a:t>
          </a: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u="none" strike="noStrike" baseline="0">
              <a:solidFill>
                <a:srgbClr val="000000"/>
              </a:solidFill>
              <a:effectLst/>
              <a:latin typeface="ＭＳ Ｐ明朝" pitchFamily="18" charset="-128"/>
              <a:ea typeface="ＭＳ Ｐ明朝" pitchFamily="18" charset="-128"/>
              <a:cs typeface="+mn-cs"/>
            </a:rPr>
            <a:t>63.6</a:t>
          </a: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u="none" strike="noStrike" baseline="0">
              <a:solidFill>
                <a:srgbClr val="000000"/>
              </a:solidFill>
              <a:effectLst/>
              <a:latin typeface="ＭＳ Ｐ明朝" pitchFamily="18" charset="-128"/>
              <a:ea typeface="ＭＳ Ｐ明朝" pitchFamily="18" charset="-128"/>
              <a:cs typeface="+mn-cs"/>
            </a:rPr>
            <a:t>KVar</a:t>
          </a: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u="none" strike="noStrike" baseline="0">
              <a:solidFill>
                <a:srgbClr val="000000"/>
              </a:solidFill>
              <a:effectLst/>
              <a:latin typeface="ＭＳ Ｐ明朝" pitchFamily="18" charset="-128"/>
              <a:ea typeface="ＭＳ Ｐ明朝" pitchFamily="18" charset="-128"/>
              <a:cs typeface="+mn-cs"/>
            </a:rPr>
            <a:t>SR</a:t>
          </a: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u="none" strike="noStrike" baseline="0">
              <a:solidFill>
                <a:srgbClr val="000000"/>
              </a:solidFill>
              <a:effectLst/>
              <a:latin typeface="ＭＳ Ｐ明朝" pitchFamily="18" charset="-128"/>
              <a:ea typeface="ＭＳ Ｐ明朝" pitchFamily="18" charset="-128"/>
              <a:cs typeface="+mn-cs"/>
            </a:rPr>
            <a:t>3.6</a:t>
          </a: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u="none" strike="noStrike" baseline="0">
              <a:solidFill>
                <a:srgbClr val="000000"/>
              </a:solidFill>
              <a:effectLst/>
              <a:latin typeface="ＭＳ Ｐ明朝" pitchFamily="18" charset="-128"/>
              <a:ea typeface="ＭＳ Ｐ明朝" pitchFamily="18" charset="-128"/>
              <a:cs typeface="+mn-cs"/>
            </a:rPr>
            <a:t>KVar</a:t>
          </a:r>
          <a:r>
            <a:rPr lang="ja-JP" altLang="en-US" sz="1100" b="0" i="0" u="none" strike="noStrike" baseline="0">
              <a:solidFill>
                <a:srgbClr val="000000"/>
              </a:solidFill>
              <a:effectLst/>
              <a:latin typeface="ＭＳ Ｐ明朝" pitchFamily="18" charset="-128"/>
              <a:ea typeface="ＭＳ Ｐ明朝" pitchFamily="18" charset="-128"/>
              <a:cs typeface="+mn-cs"/>
            </a:rPr>
            <a:t>　　⇒　　高圧進相コンデンサ</a:t>
          </a: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No.5</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TR</a:t>
          </a:r>
          <a:r>
            <a:rPr lang="ja-JP" altLang="ja-JP" sz="1100" b="0" i="0" baseline="0">
              <a:effectLst/>
              <a:latin typeface="ＭＳ Ｐ明朝" pitchFamily="18" charset="-128"/>
              <a:ea typeface="ＭＳ Ｐ明朝" pitchFamily="18" charset="-128"/>
              <a:cs typeface="+mn-cs"/>
            </a:rPr>
            <a:t> 低圧進相コンデンサ　</a:t>
          </a:r>
          <a:r>
            <a:rPr lang="en-US" altLang="ja-JP" sz="1100" b="0" i="0" baseline="0">
              <a:effectLst/>
              <a:latin typeface="ＭＳ Ｐ明朝" pitchFamily="18" charset="-128"/>
              <a:ea typeface="ＭＳ Ｐ明朝" pitchFamily="18" charset="-128"/>
              <a:cs typeface="+mn-cs"/>
            </a:rPr>
            <a:t>SC</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95.4</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KVar</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SR</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5.4</a:t>
          </a:r>
          <a:r>
            <a:rPr lang="ja-JP" altLang="ja-JP"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SC</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21.2</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常時投入</a:t>
          </a:r>
          <a:r>
            <a:rPr lang="en-US" altLang="ja-JP" sz="1100" b="0" i="0" baseline="0">
              <a:effectLst/>
              <a:latin typeface="ＭＳ Ｐ明朝" pitchFamily="18" charset="-128"/>
              <a:ea typeface="ＭＳ Ｐ明朝" pitchFamily="18" charset="-128"/>
              <a:cs typeface="+mn-cs"/>
            </a:rPr>
            <a:t>)</a:t>
          </a:r>
          <a:endParaRPr lang="ja-JP" altLang="en-US" sz="1100" b="0" i="0" baseline="0">
            <a:effectLst/>
            <a:latin typeface="ＭＳ Ｐ明朝" pitchFamily="18" charset="-128"/>
            <a:ea typeface="ＭＳ Ｐ明朝" pitchFamily="18"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SR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1.2</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常時投入</a:t>
          </a:r>
          <a:r>
            <a:rPr lang="en-US" altLang="ja-JP" sz="1100" b="0" i="0" baseline="0">
              <a:effectLst/>
              <a:latin typeface="ＭＳ Ｐ明朝" pitchFamily="18" charset="-128"/>
              <a:ea typeface="ＭＳ Ｐ明朝" pitchFamily="18" charset="-128"/>
              <a:cs typeface="+mn-cs"/>
            </a:rPr>
            <a:t>)</a:t>
          </a:r>
          <a:endParaRPr lang="ja-JP" altLang="en-US" sz="1100" b="0" i="0" baseline="0">
            <a:effectLst/>
            <a:latin typeface="ＭＳ Ｐ明朝" pitchFamily="18" charset="-128"/>
            <a:ea typeface="ＭＳ Ｐ明朝" pitchFamily="18"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SC</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106</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3</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力率改善用</a:t>
          </a:r>
          <a:r>
            <a:rPr lang="en-US" altLang="ja-JP" sz="1100" b="0" i="0" baseline="0">
              <a:effectLst/>
              <a:latin typeface="ＭＳ Ｐ明朝" pitchFamily="18" charset="-128"/>
              <a:ea typeface="ＭＳ Ｐ明朝" pitchFamily="18" charset="-128"/>
              <a:cs typeface="+mn-cs"/>
            </a:rPr>
            <a:t>)</a:t>
          </a:r>
          <a:endParaRPr lang="ja-JP" altLang="en-US" sz="1100" b="0" i="0" baseline="0">
            <a:effectLst/>
            <a:latin typeface="ＭＳ Ｐ明朝" pitchFamily="18" charset="-128"/>
            <a:ea typeface="ＭＳ Ｐ明朝" pitchFamily="18"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Ｐ明朝" pitchFamily="18" charset="-128"/>
              <a:ea typeface="ＭＳ Ｐ明朝" pitchFamily="18" charset="-128"/>
              <a:cs typeface="+mn-cs"/>
            </a:rPr>
            <a:t>　　力率  </a:t>
          </a:r>
          <a:r>
            <a:rPr lang="en-US" altLang="ja-JP" sz="1100" b="0" i="0" baseline="0">
              <a:effectLst/>
              <a:latin typeface="ＭＳ Ｐ明朝" pitchFamily="18" charset="-128"/>
              <a:ea typeface="ＭＳ Ｐ明朝" pitchFamily="18" charset="-128"/>
              <a:cs typeface="+mn-cs"/>
            </a:rPr>
            <a:t>No.1</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TR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0.816</a:t>
          </a:r>
          <a:r>
            <a:rPr lang="ja-JP" altLang="en-US" sz="1100" b="0" i="0" baseline="0">
              <a:effectLst/>
              <a:latin typeface="ＭＳ Ｐ明朝" pitchFamily="18" charset="-128"/>
              <a:ea typeface="ＭＳ Ｐ明朝" pitchFamily="18" charset="-128"/>
              <a:cs typeface="+mn-cs"/>
            </a:rPr>
            <a:t> 　　⇒　　</a:t>
          </a:r>
          <a:r>
            <a:rPr lang="en-US" altLang="ja-JP" sz="1100" b="0" i="0" baseline="0">
              <a:effectLst/>
              <a:latin typeface="ＭＳ Ｐ明朝" pitchFamily="18" charset="-128"/>
              <a:ea typeface="ＭＳ Ｐ明朝" pitchFamily="18" charset="-128"/>
              <a:cs typeface="+mn-cs"/>
            </a:rPr>
            <a:t>0.953</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高圧側</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SR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6</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KVar</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3</a:t>
          </a:r>
          <a:r>
            <a:rPr lang="ja-JP" altLang="en-US" sz="1100" b="0" i="0" baseline="0">
              <a:effectLst/>
              <a:latin typeface="ＭＳ Ｐ明朝" pitchFamily="18" charset="-128"/>
              <a:ea typeface="ＭＳ Ｐ明朝" pitchFamily="18" charset="-128"/>
              <a:cs typeface="+mn-cs"/>
            </a:rPr>
            <a:t> </a:t>
          </a:r>
          <a:r>
            <a:rPr lang="en-US" altLang="ja-JP" sz="1100" b="0" i="0" baseline="0">
              <a:effectLst/>
              <a:latin typeface="ＭＳ Ｐ明朝" pitchFamily="18" charset="-128"/>
              <a:ea typeface="ＭＳ Ｐ明朝" pitchFamily="18" charset="-128"/>
              <a:cs typeface="+mn-cs"/>
            </a:rPr>
            <a:t>(</a:t>
          </a:r>
          <a:r>
            <a:rPr lang="ja-JP" altLang="en-US" sz="1100" b="0" i="0" baseline="0">
              <a:effectLst/>
              <a:latin typeface="ＭＳ Ｐ明朝" pitchFamily="18" charset="-128"/>
              <a:ea typeface="ＭＳ Ｐ明朝" pitchFamily="18" charset="-128"/>
              <a:cs typeface="+mn-cs"/>
            </a:rPr>
            <a:t>力率改善用</a:t>
          </a:r>
          <a:r>
            <a:rPr lang="en-US" altLang="ja-JP" sz="1100" b="0" i="0" baseline="0">
              <a:effectLst/>
              <a:latin typeface="ＭＳ Ｐ明朝" pitchFamily="18" charset="-128"/>
              <a:ea typeface="ＭＳ Ｐ明朝" pitchFamily="18" charset="-128"/>
              <a:cs typeface="+mn-cs"/>
            </a:rPr>
            <a:t>)</a:t>
          </a:r>
          <a:endParaRPr lang="ja-JP" altLang="en-US" sz="1100" b="0" i="0" baseline="0">
            <a:effectLst/>
            <a:latin typeface="ＭＳ Ｐ明朝" pitchFamily="18" charset="-128"/>
            <a:ea typeface="ＭＳ Ｐ明朝" pitchFamily="18" charset="-128"/>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No.2</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TR</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0.783</a:t>
          </a:r>
          <a:endParaRPr lang="ja-JP" altLang="en-US" sz="1100">
            <a:effectLst/>
            <a:latin typeface="ＭＳ Ｐ明朝" pitchFamily="18" charset="-128"/>
            <a:ea typeface="ＭＳ Ｐ明朝" pitchFamily="18"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No.3</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TR</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0.777</a:t>
          </a:r>
          <a:endParaRPr lang="ja-JP" altLang="en-US" sz="1100">
            <a:effectLst/>
            <a:latin typeface="ＭＳ Ｐ明朝" pitchFamily="18" charset="-128"/>
            <a:ea typeface="ＭＳ Ｐ明朝" pitchFamily="18"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No.4</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TR</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0.883</a:t>
          </a:r>
          <a:endParaRPr lang="ja-JP" altLang="en-US" sz="1100">
            <a:effectLst/>
            <a:latin typeface="ＭＳ Ｐ明朝" pitchFamily="18" charset="-128"/>
            <a:ea typeface="ＭＳ Ｐ明朝" pitchFamily="18"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No.5</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TR</a:t>
          </a:r>
          <a:r>
            <a:rPr lang="ja-JP" altLang="en-US" sz="1100">
              <a:effectLst/>
              <a:latin typeface="ＭＳ Ｐ明朝" pitchFamily="18" charset="-128"/>
              <a:ea typeface="ＭＳ Ｐ明朝" pitchFamily="18" charset="-128"/>
            </a:rPr>
            <a:t> </a:t>
          </a:r>
          <a:r>
            <a:rPr lang="en-US" altLang="ja-JP" sz="1100">
              <a:effectLst/>
              <a:latin typeface="ＭＳ Ｐ明朝" pitchFamily="18" charset="-128"/>
              <a:ea typeface="ＭＳ Ｐ明朝" pitchFamily="18" charset="-128"/>
            </a:rPr>
            <a:t>0.929</a:t>
          </a:r>
          <a:endParaRPr lang="ja-JP" altLang="ja-JP" sz="1100">
            <a:effectLst/>
            <a:latin typeface="ＭＳ Ｐ明朝" pitchFamily="18" charset="-128"/>
            <a:ea typeface="ＭＳ Ｐ明朝" pitchFamily="18" charset="-128"/>
          </a:endParaRPr>
        </a:p>
        <a:p>
          <a:pPr algn="l" rtl="0">
            <a:lnSpc>
              <a:spcPts val="1300"/>
            </a:lnSpc>
            <a:defRPr sz="1000"/>
          </a:pPr>
          <a:endParaRPr lang="ja-JP" altLang="en-US" sz="1100" b="0" i="0" u="none" strike="noStrike" baseline="0">
            <a:solidFill>
              <a:srgbClr val="000000"/>
            </a:solidFill>
            <a:latin typeface="ＭＳ Ｐ明朝" pitchFamily="18" charset="-128"/>
            <a:ea typeface="ＭＳ Ｐ明朝" pitchFamily="18" charset="-128"/>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20</xdr:col>
      <xdr:colOff>28575</xdr:colOff>
      <xdr:row>1</xdr:row>
      <xdr:rowOff>0</xdr:rowOff>
    </xdr:from>
    <xdr:to>
      <xdr:col>23</xdr:col>
      <xdr:colOff>161925</xdr:colOff>
      <xdr:row>2</xdr:row>
      <xdr:rowOff>142875</xdr:rowOff>
    </xdr:to>
    <xdr:grpSp>
      <xdr:nvGrpSpPr>
        <xdr:cNvPr id="2" name="Group 91"/>
        <xdr:cNvGrpSpPr>
          <a:grpSpLocks/>
        </xdr:cNvGrpSpPr>
      </xdr:nvGrpSpPr>
      <xdr:grpSpPr bwMode="auto">
        <a:xfrm>
          <a:off x="8201025" y="95250"/>
          <a:ext cx="1562100" cy="314325"/>
          <a:chOff x="861" y="13"/>
          <a:chExt cx="164" cy="33"/>
        </a:xfrm>
      </xdr:grpSpPr>
      <xdr:sp macro="" textlink="">
        <xdr:nvSpPr>
          <xdr:cNvPr id="3" name="Text Box 89"/>
          <xdr:cNvSpPr txBox="1">
            <a:spLocks noChangeArrowheads="1"/>
          </xdr:cNvSpPr>
        </xdr:nvSpPr>
        <xdr:spPr bwMode="auto">
          <a:xfrm>
            <a:off x="861" y="28"/>
            <a:ext cx="164"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明朝"/>
                <a:ea typeface="ＭＳ 明朝"/>
              </a:rPr>
              <a:t> 　 器の二次側に設置する。</a:t>
            </a:r>
          </a:p>
        </xdr:txBody>
      </xdr:sp>
      <xdr:sp macro="" textlink="">
        <xdr:nvSpPr>
          <xdr:cNvPr id="4" name="Text Box 90"/>
          <xdr:cNvSpPr txBox="1">
            <a:spLocks noChangeArrowheads="1"/>
          </xdr:cNvSpPr>
        </xdr:nvSpPr>
        <xdr:spPr bwMode="auto">
          <a:xfrm>
            <a:off x="861" y="13"/>
            <a:ext cx="152"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注</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進相コンデンサは変圧</a:t>
            </a:r>
          </a:p>
        </xdr:txBody>
      </xdr:sp>
    </xdr:grpSp>
    <xdr:clientData/>
  </xdr:twoCellAnchor>
  <xdr:twoCellAnchor editAs="oneCell">
    <xdr:from>
      <xdr:col>20</xdr:col>
      <xdr:colOff>28575</xdr:colOff>
      <xdr:row>1</xdr:row>
      <xdr:rowOff>28575</xdr:rowOff>
    </xdr:from>
    <xdr:to>
      <xdr:col>23</xdr:col>
      <xdr:colOff>161925</xdr:colOff>
      <xdr:row>3</xdr:row>
      <xdr:rowOff>19047</xdr:rowOff>
    </xdr:to>
    <xdr:grpSp>
      <xdr:nvGrpSpPr>
        <xdr:cNvPr id="5" name="Group 92"/>
        <xdr:cNvGrpSpPr>
          <a:grpSpLocks/>
        </xdr:cNvGrpSpPr>
      </xdr:nvGrpSpPr>
      <xdr:grpSpPr bwMode="auto">
        <a:xfrm>
          <a:off x="8201025" y="123825"/>
          <a:ext cx="1562100" cy="314322"/>
          <a:chOff x="861" y="13"/>
          <a:chExt cx="164" cy="33"/>
        </a:xfrm>
      </xdr:grpSpPr>
      <xdr:sp macro="" textlink="">
        <xdr:nvSpPr>
          <xdr:cNvPr id="6" name="Text Box 93"/>
          <xdr:cNvSpPr txBox="1">
            <a:spLocks noChangeArrowheads="1"/>
          </xdr:cNvSpPr>
        </xdr:nvSpPr>
        <xdr:spPr bwMode="auto">
          <a:xfrm>
            <a:off x="861" y="28"/>
            <a:ext cx="164"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明朝"/>
                <a:ea typeface="ＭＳ 明朝"/>
              </a:rPr>
              <a:t> 　 器の二次側に設置する。</a:t>
            </a:r>
          </a:p>
        </xdr:txBody>
      </xdr:sp>
      <xdr:sp macro="" textlink="">
        <xdr:nvSpPr>
          <xdr:cNvPr id="7" name="Text Box 94"/>
          <xdr:cNvSpPr txBox="1">
            <a:spLocks noChangeArrowheads="1"/>
          </xdr:cNvSpPr>
        </xdr:nvSpPr>
        <xdr:spPr bwMode="auto">
          <a:xfrm>
            <a:off x="861" y="13"/>
            <a:ext cx="152"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注</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進相コンデンサは変圧</a:t>
            </a:r>
          </a:p>
        </xdr:txBody>
      </xdr:sp>
    </xdr:grpSp>
    <xdr:clientData/>
  </xdr:twoCellAnchor>
  <xdr:twoCellAnchor editAs="oneCell">
    <xdr:from>
      <xdr:col>20</xdr:col>
      <xdr:colOff>28575</xdr:colOff>
      <xdr:row>1</xdr:row>
      <xdr:rowOff>0</xdr:rowOff>
    </xdr:from>
    <xdr:to>
      <xdr:col>23</xdr:col>
      <xdr:colOff>161925</xdr:colOff>
      <xdr:row>3</xdr:row>
      <xdr:rowOff>1682</xdr:rowOff>
    </xdr:to>
    <xdr:grpSp>
      <xdr:nvGrpSpPr>
        <xdr:cNvPr id="8" name="Group 91"/>
        <xdr:cNvGrpSpPr>
          <a:grpSpLocks/>
        </xdr:cNvGrpSpPr>
      </xdr:nvGrpSpPr>
      <xdr:grpSpPr bwMode="auto">
        <a:xfrm>
          <a:off x="8201025" y="95250"/>
          <a:ext cx="1562100" cy="325532"/>
          <a:chOff x="861" y="13"/>
          <a:chExt cx="164" cy="33"/>
        </a:xfrm>
      </xdr:grpSpPr>
      <xdr:sp macro="" textlink="">
        <xdr:nvSpPr>
          <xdr:cNvPr id="9" name="Text Box 89"/>
          <xdr:cNvSpPr txBox="1">
            <a:spLocks noChangeArrowheads="1"/>
          </xdr:cNvSpPr>
        </xdr:nvSpPr>
        <xdr:spPr bwMode="auto">
          <a:xfrm>
            <a:off x="861" y="28"/>
            <a:ext cx="164"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明朝"/>
                <a:ea typeface="ＭＳ 明朝"/>
              </a:rPr>
              <a:t> 　 器の二次側に設置する。</a:t>
            </a:r>
          </a:p>
        </xdr:txBody>
      </xdr:sp>
      <xdr:sp macro="" textlink="">
        <xdr:nvSpPr>
          <xdr:cNvPr id="10" name="Text Box 90"/>
          <xdr:cNvSpPr txBox="1">
            <a:spLocks noChangeArrowheads="1"/>
          </xdr:cNvSpPr>
        </xdr:nvSpPr>
        <xdr:spPr bwMode="auto">
          <a:xfrm>
            <a:off x="861" y="13"/>
            <a:ext cx="152"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注</a:t>
            </a:r>
            <a:r>
              <a:rPr lang="en-US" altLang="ja-JP"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ＭＳ 明朝"/>
                <a:ea typeface="ＭＳ 明朝"/>
              </a:rPr>
              <a:t>進相コンデンサは変圧</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VD4%20JPN-2011.10.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B%20ESE%20VDseries/1.&#38283;&#30330;&#28168;&#12477;&#12501;&#12488;/&#12471;&#12522;&#65293;&#12474;%20No.1-ORG(Ver1.0)/(UL)VD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1～4"/>
      <sheetName val="DATA Table"/>
    </sheetNames>
    <sheetDataSet>
      <sheetData sheetId="0"/>
      <sheetData sheetId="1"/>
      <sheetData sheetId="2">
        <row r="6">
          <cell r="V6">
            <v>2</v>
          </cell>
          <cell r="W6">
            <v>10.7</v>
          </cell>
          <cell r="X6">
            <v>9.9199999999999997E-2</v>
          </cell>
          <cell r="Z6">
            <v>8</v>
          </cell>
          <cell r="AA6">
            <v>3.01</v>
          </cell>
          <cell r="AB6">
            <v>0.114</v>
          </cell>
        </row>
        <row r="7">
          <cell r="V7">
            <v>3.5</v>
          </cell>
          <cell r="W7">
            <v>6.02</v>
          </cell>
          <cell r="X7">
            <v>9.1399999999999995E-2</v>
          </cell>
          <cell r="Z7">
            <v>14</v>
          </cell>
          <cell r="AA7">
            <v>1.71</v>
          </cell>
          <cell r="AB7">
            <v>0.107</v>
          </cell>
        </row>
        <row r="8">
          <cell r="V8">
            <v>5.5</v>
          </cell>
          <cell r="W8">
            <v>3.85</v>
          </cell>
          <cell r="X8">
            <v>9.1399999999999995E-2</v>
          </cell>
          <cell r="Z8">
            <v>22</v>
          </cell>
          <cell r="AA8">
            <v>1.08</v>
          </cell>
          <cell r="AB8">
            <v>0.10199999999999999</v>
          </cell>
        </row>
        <row r="9">
          <cell r="V9">
            <v>8</v>
          </cell>
          <cell r="W9">
            <v>2.67</v>
          </cell>
          <cell r="X9">
            <v>9.1399999999999995E-2</v>
          </cell>
          <cell r="Z9">
            <v>38</v>
          </cell>
          <cell r="AA9">
            <v>0.626</v>
          </cell>
          <cell r="AB9">
            <v>9.3899999999999997E-2</v>
          </cell>
        </row>
        <row r="10">
          <cell r="V10">
            <v>14</v>
          </cell>
          <cell r="W10">
            <v>1.5</v>
          </cell>
          <cell r="X10">
            <v>8.3000000000000004E-2</v>
          </cell>
          <cell r="Z10">
            <v>60</v>
          </cell>
          <cell r="AA10">
            <v>0.39700000000000002</v>
          </cell>
          <cell r="AB10">
            <v>9.0499999999999997E-2</v>
          </cell>
        </row>
        <row r="11">
          <cell r="V11">
            <v>22</v>
          </cell>
          <cell r="W11">
            <v>0.95299999999999996</v>
          </cell>
          <cell r="X11">
            <v>8.5800000000000001E-2</v>
          </cell>
          <cell r="Z11">
            <v>100</v>
          </cell>
          <cell r="AA11">
            <v>0.24</v>
          </cell>
          <cell r="AB11">
            <v>8.8300000000000003E-2</v>
          </cell>
        </row>
        <row r="12">
          <cell r="V12">
            <v>38</v>
          </cell>
          <cell r="W12">
            <v>0.56299999999999994</v>
          </cell>
          <cell r="X12">
            <v>7.6100000000000001E-2</v>
          </cell>
          <cell r="Z12">
            <v>150</v>
          </cell>
          <cell r="AA12">
            <v>0.159</v>
          </cell>
          <cell r="AB12">
            <v>8.3900000000000002E-2</v>
          </cell>
        </row>
        <row r="13">
          <cell r="V13">
            <v>60</v>
          </cell>
          <cell r="W13">
            <v>0.35099999999999998</v>
          </cell>
          <cell r="X13">
            <v>7.8600000000000003E-2</v>
          </cell>
          <cell r="Z13">
            <v>200</v>
          </cell>
          <cell r="AA13">
            <v>0.121</v>
          </cell>
          <cell r="AB13">
            <v>8.4500000000000006E-2</v>
          </cell>
        </row>
        <row r="14">
          <cell r="V14">
            <v>100</v>
          </cell>
          <cell r="W14">
            <v>0.20899999999999999</v>
          </cell>
          <cell r="X14">
            <v>7.6100000000000001E-2</v>
          </cell>
          <cell r="Z14">
            <v>250</v>
          </cell>
          <cell r="AA14">
            <v>9.8100000000000007E-2</v>
          </cell>
          <cell r="AB14">
            <v>8.2600000000000007E-2</v>
          </cell>
        </row>
        <row r="15">
          <cell r="V15">
            <v>150</v>
          </cell>
          <cell r="W15">
            <v>0.13700000000000001</v>
          </cell>
          <cell r="X15">
            <v>7.4399999999999994E-2</v>
          </cell>
          <cell r="Z15">
            <v>325</v>
          </cell>
          <cell r="AA15">
            <v>7.6499999999999999E-2</v>
          </cell>
          <cell r="AB15">
            <v>8.0699999999999994E-2</v>
          </cell>
        </row>
        <row r="16">
          <cell r="V16">
            <v>200</v>
          </cell>
          <cell r="W16">
            <v>0.107</v>
          </cell>
          <cell r="X16">
            <v>7.3999999999999996E-2</v>
          </cell>
          <cell r="Z16">
            <v>400</v>
          </cell>
          <cell r="AA16">
            <v>6.3399999999999998E-2</v>
          </cell>
          <cell r="AB16">
            <v>7.9200000000000007E-2</v>
          </cell>
        </row>
        <row r="17">
          <cell r="V17">
            <v>250</v>
          </cell>
          <cell r="W17">
            <v>8.4000000000000005E-2</v>
          </cell>
          <cell r="X17">
            <v>7.2400000000000006E-2</v>
          </cell>
          <cell r="Z17">
            <v>500</v>
          </cell>
          <cell r="AA17">
            <v>5.1999999999999998E-2</v>
          </cell>
          <cell r="AB17">
            <v>7.9500000000000001E-2</v>
          </cell>
        </row>
        <row r="18">
          <cell r="V18">
            <v>325</v>
          </cell>
          <cell r="W18">
            <v>6.6600000000000006E-2</v>
          </cell>
          <cell r="X18">
            <v>7.1900000000000006E-2</v>
          </cell>
          <cell r="Z18">
            <v>600</v>
          </cell>
          <cell r="AA18">
            <v>4.48E-2</v>
          </cell>
          <cell r="AB18">
            <v>7.85E-2</v>
          </cell>
        </row>
        <row r="19">
          <cell r="V19"/>
          <cell r="W19"/>
          <cell r="X19"/>
          <cell r="Z19"/>
          <cell r="AA19"/>
          <cell r="AB19"/>
        </row>
        <row r="20">
          <cell r="V20"/>
          <cell r="W20"/>
          <cell r="X20"/>
          <cell r="Z20"/>
          <cell r="AA20"/>
          <cell r="AB20"/>
        </row>
        <row r="21">
          <cell r="V21"/>
          <cell r="W21"/>
          <cell r="X21"/>
          <cell r="Z21"/>
          <cell r="AA21"/>
          <cell r="AB21"/>
        </row>
        <row r="27">
          <cell r="V27">
            <v>2</v>
          </cell>
          <cell r="W27">
            <v>12</v>
          </cell>
          <cell r="X27">
            <v>9.9199999999999997E-2</v>
          </cell>
        </row>
        <row r="28">
          <cell r="V28">
            <v>3.5</v>
          </cell>
          <cell r="W28">
            <v>6.76</v>
          </cell>
          <cell r="X28">
            <v>9.1399999999999995E-2</v>
          </cell>
        </row>
        <row r="29">
          <cell r="V29">
            <v>5.5</v>
          </cell>
          <cell r="W29">
            <v>4.34</v>
          </cell>
          <cell r="X29">
            <v>9.1399999999999995E-2</v>
          </cell>
        </row>
        <row r="30">
          <cell r="V30">
            <v>8</v>
          </cell>
          <cell r="W30">
            <v>3.01</v>
          </cell>
          <cell r="X30">
            <v>8.6999999999999994E-2</v>
          </cell>
        </row>
        <row r="31">
          <cell r="V31">
            <v>14</v>
          </cell>
          <cell r="W31">
            <v>1.71</v>
          </cell>
          <cell r="X31">
            <v>8.2799999999999999E-2</v>
          </cell>
        </row>
        <row r="32">
          <cell r="V32">
            <v>22</v>
          </cell>
          <cell r="W32">
            <v>1.08</v>
          </cell>
          <cell r="X32">
            <v>8.2000000000000003E-2</v>
          </cell>
        </row>
        <row r="33">
          <cell r="V33">
            <v>38</v>
          </cell>
          <cell r="W33">
            <v>0.626</v>
          </cell>
          <cell r="X33">
            <v>7.7100000000000002E-2</v>
          </cell>
        </row>
        <row r="34">
          <cell r="V34">
            <v>60</v>
          </cell>
          <cell r="W34">
            <v>0.39700000000000002</v>
          </cell>
          <cell r="X34">
            <v>7.7299999999999994E-2</v>
          </cell>
        </row>
        <row r="35">
          <cell r="V35">
            <v>100</v>
          </cell>
          <cell r="W35">
            <v>0.24</v>
          </cell>
          <cell r="X35">
            <v>7.7700000000000005E-2</v>
          </cell>
        </row>
        <row r="36">
          <cell r="V36">
            <v>150</v>
          </cell>
          <cell r="W36">
            <v>0.159</v>
          </cell>
          <cell r="X36">
            <v>7.4700000000000003E-2</v>
          </cell>
        </row>
        <row r="37">
          <cell r="V37">
            <v>200</v>
          </cell>
          <cell r="W37">
            <v>0.121</v>
          </cell>
          <cell r="X37">
            <v>7.5700000000000003E-2</v>
          </cell>
        </row>
        <row r="38">
          <cell r="B38"/>
          <cell r="C38"/>
          <cell r="D38"/>
          <cell r="E38" t="str">
            <v/>
          </cell>
          <cell r="V38">
            <v>250</v>
          </cell>
          <cell r="W38">
            <v>9.8500000000000004E-2</v>
          </cell>
          <cell r="X38">
            <v>7.4200000000000002E-2</v>
          </cell>
        </row>
        <row r="39">
          <cell r="B39"/>
          <cell r="C39"/>
          <cell r="D39"/>
          <cell r="E39" t="str">
            <v/>
          </cell>
          <cell r="V39">
            <v>325</v>
          </cell>
          <cell r="W39">
            <v>7.7100000000000002E-2</v>
          </cell>
          <cell r="X39">
            <v>7.2499999999999995E-2</v>
          </cell>
        </row>
        <row r="40">
          <cell r="B40"/>
          <cell r="C40"/>
          <cell r="D40"/>
          <cell r="E40" t="str">
            <v/>
          </cell>
          <cell r="V40"/>
          <cell r="W40"/>
          <cell r="X40"/>
        </row>
        <row r="41">
          <cell r="B41"/>
          <cell r="C41"/>
          <cell r="D41"/>
          <cell r="E41" t="str">
            <v/>
          </cell>
          <cell r="V41"/>
          <cell r="W41"/>
          <cell r="X41"/>
        </row>
        <row r="42">
          <cell r="B42"/>
          <cell r="C42"/>
          <cell r="D42"/>
          <cell r="E42" t="str">
            <v/>
          </cell>
          <cell r="V42"/>
          <cell r="W42"/>
          <cell r="X42"/>
        </row>
        <row r="43">
          <cell r="B43"/>
          <cell r="C43"/>
          <cell r="D43"/>
          <cell r="E43" t="str">
            <v/>
          </cell>
          <cell r="V43"/>
          <cell r="W43"/>
          <cell r="X43"/>
        </row>
        <row r="44">
          <cell r="B44"/>
          <cell r="C44"/>
          <cell r="D44"/>
          <cell r="E44" t="str">
            <v/>
          </cell>
          <cell r="V44"/>
          <cell r="W44"/>
          <cell r="X44"/>
        </row>
        <row r="45">
          <cell r="B45"/>
          <cell r="C45"/>
          <cell r="D45"/>
          <cell r="E45" t="str">
            <v/>
          </cell>
        </row>
        <row r="46">
          <cell r="B46"/>
          <cell r="C46"/>
          <cell r="D46"/>
          <cell r="E46" t="str">
            <v/>
          </cell>
        </row>
        <row r="47">
          <cell r="B47"/>
          <cell r="C47"/>
          <cell r="D47"/>
          <cell r="E47" t="str">
            <v/>
          </cell>
        </row>
        <row r="48">
          <cell r="B48"/>
          <cell r="C48"/>
          <cell r="D48"/>
          <cell r="E48" t="str">
            <v/>
          </cell>
        </row>
        <row r="49">
          <cell r="B49"/>
          <cell r="C49"/>
          <cell r="D49"/>
          <cell r="E49" t="str">
            <v/>
          </cell>
        </row>
        <row r="50">
          <cell r="B50"/>
          <cell r="C50"/>
          <cell r="D50"/>
          <cell r="E50" t="str">
            <v/>
          </cell>
        </row>
        <row r="51">
          <cell r="B51"/>
          <cell r="C51"/>
          <cell r="D51"/>
          <cell r="E51" t="str">
            <v/>
          </cell>
        </row>
        <row r="52">
          <cell r="B52"/>
          <cell r="C52"/>
          <cell r="D52"/>
          <cell r="E5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4-1"/>
      <sheetName val="VD4-2"/>
      <sheetName val="DATA Table"/>
      <sheetName val="UserInfo"/>
      <sheetName val=" "/>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tabSelected="1" view="pageBreakPreview" zoomScale="130" zoomScaleNormal="130" zoomScaleSheetLayoutView="130" workbookViewId="0">
      <selection sqref="A1:A50"/>
    </sheetView>
  </sheetViews>
  <sheetFormatPr defaultRowHeight="13.5" x14ac:dyDescent="0.15"/>
  <cols>
    <col min="1" max="1" width="2.125" style="2" customWidth="1"/>
    <col min="2" max="2" width="3.375" style="2" customWidth="1"/>
    <col min="3" max="6" width="3.75" style="2" customWidth="1"/>
    <col min="7" max="7" width="0.5" style="2" customWidth="1"/>
    <col min="8" max="8" width="0.75" style="2" customWidth="1"/>
    <col min="9" max="9" width="2.5" style="2" customWidth="1"/>
    <col min="10" max="10" width="0.5" style="2" customWidth="1"/>
    <col min="11" max="11" width="3.25" style="2" customWidth="1"/>
    <col min="12" max="12" width="3.75" style="2" customWidth="1"/>
    <col min="13" max="13" width="0.5" style="2" customWidth="1"/>
    <col min="14" max="14" width="3.25" style="2" customWidth="1"/>
    <col min="15" max="15" width="0.5" style="2" customWidth="1"/>
    <col min="16" max="16" width="3.25" style="2" customWidth="1"/>
    <col min="17" max="17" width="0.5" style="2" customWidth="1"/>
    <col min="18" max="18" width="3.25" style="2" customWidth="1"/>
    <col min="19" max="22" width="3.75" style="2" customWidth="1"/>
    <col min="23" max="23" width="0.5" style="2" customWidth="1"/>
    <col min="24" max="24" width="3.25" style="2" customWidth="1"/>
    <col min="25" max="25" width="0.5" style="2" customWidth="1"/>
    <col min="26" max="26" width="3.25" style="2" customWidth="1"/>
    <col min="27" max="27" width="3.75" style="2" customWidth="1"/>
    <col min="28" max="28" width="0.5" style="2" customWidth="1"/>
    <col min="29" max="29" width="3.25" style="2" customWidth="1"/>
    <col min="30" max="30" width="3.75" style="2" customWidth="1"/>
    <col min="31" max="31" width="0.5" style="2" customWidth="1"/>
    <col min="32" max="32" width="3.25" style="2" customWidth="1"/>
    <col min="33" max="33" width="3.75" style="2" customWidth="1"/>
    <col min="34" max="34" width="0.5" style="2" customWidth="1"/>
    <col min="35" max="35" width="3.25" style="2" customWidth="1"/>
    <col min="36" max="36" width="3.75" style="2" customWidth="1"/>
    <col min="37" max="37" width="1.375" style="2" customWidth="1"/>
    <col min="38" max="38" width="1.25" style="2" customWidth="1"/>
    <col min="39" max="39" width="9" style="2"/>
    <col min="40" max="40" width="6.25" style="2" customWidth="1"/>
    <col min="41" max="16384" width="9" style="2"/>
  </cols>
  <sheetData>
    <row r="1" spans="1:45" ht="13.5" customHeight="1" x14ac:dyDescent="0.15">
      <c r="A1" s="465" t="s">
        <v>0</v>
      </c>
      <c r="B1" s="1" t="s">
        <v>1</v>
      </c>
      <c r="C1" s="1"/>
      <c r="D1" s="1"/>
      <c r="E1" s="1"/>
      <c r="F1" s="1"/>
      <c r="G1" s="1"/>
      <c r="H1" s="1"/>
      <c r="I1" s="1"/>
      <c r="J1" s="1"/>
      <c r="AF1" s="3" t="s">
        <v>332</v>
      </c>
      <c r="AG1" s="543">
        <f ca="1">NOW()</f>
        <v>43456.82143877315</v>
      </c>
      <c r="AH1" s="543"/>
      <c r="AI1" s="543"/>
      <c r="AJ1" s="543"/>
      <c r="AK1" s="543"/>
      <c r="AS1" s="2" t="s">
        <v>5</v>
      </c>
    </row>
    <row r="2" spans="1:45" ht="12.75" customHeight="1" x14ac:dyDescent="0.25">
      <c r="A2" s="465"/>
      <c r="B2" s="4"/>
      <c r="C2" s="4"/>
      <c r="D2" s="4"/>
      <c r="E2" s="4"/>
      <c r="F2" s="4"/>
      <c r="G2" s="4"/>
      <c r="H2" s="4"/>
      <c r="I2" s="4"/>
      <c r="J2" s="4"/>
      <c r="K2" s="4"/>
      <c r="L2" s="5"/>
      <c r="M2" s="5"/>
      <c r="N2" s="5" t="s">
        <v>4</v>
      </c>
      <c r="O2" s="5"/>
      <c r="S2" s="4"/>
      <c r="T2" s="4"/>
      <c r="U2" s="4"/>
      <c r="V2" s="4"/>
      <c r="W2" s="4"/>
      <c r="X2" s="4"/>
      <c r="Y2" s="4"/>
      <c r="AF2" s="3" t="s">
        <v>331</v>
      </c>
      <c r="AG2" s="542" t="s">
        <v>334</v>
      </c>
      <c r="AH2" s="542"/>
      <c r="AI2" s="542"/>
      <c r="AJ2" s="542"/>
      <c r="AK2" s="542"/>
    </row>
    <row r="3" spans="1:45" ht="12" customHeight="1" x14ac:dyDescent="0.25">
      <c r="A3" s="465"/>
      <c r="B3" s="4"/>
      <c r="C3" s="4"/>
      <c r="D3" s="4"/>
      <c r="E3" s="4"/>
      <c r="F3" s="4"/>
      <c r="G3" s="4"/>
      <c r="H3" s="4"/>
      <c r="I3" s="4"/>
      <c r="J3" s="4"/>
      <c r="K3" s="4"/>
      <c r="L3" s="5"/>
      <c r="M3" s="5"/>
      <c r="N3" s="5" t="s">
        <v>3</v>
      </c>
      <c r="O3" s="5"/>
      <c r="S3" s="4"/>
      <c r="T3" s="4"/>
      <c r="U3" s="4"/>
      <c r="V3" s="4"/>
      <c r="W3" s="4"/>
      <c r="X3" s="4"/>
      <c r="Y3" s="4"/>
      <c r="AD3" s="6"/>
      <c r="AE3" s="6"/>
      <c r="AF3" s="8" t="s">
        <v>327</v>
      </c>
      <c r="AG3" s="9" t="s">
        <v>329</v>
      </c>
      <c r="AH3" s="8"/>
      <c r="AI3" s="9"/>
      <c r="AJ3" s="7"/>
      <c r="AK3" s="4"/>
    </row>
    <row r="4" spans="1:45" ht="15" customHeight="1" x14ac:dyDescent="0.15">
      <c r="A4" s="465"/>
      <c r="K4" s="4"/>
      <c r="L4" s="10" t="s">
        <v>2</v>
      </c>
      <c r="M4" s="10"/>
      <c r="N4" s="11"/>
      <c r="O4" s="11"/>
      <c r="P4" s="4"/>
      <c r="Q4" s="4"/>
      <c r="R4" s="4"/>
      <c r="S4" s="4"/>
      <c r="T4" s="4"/>
      <c r="U4" s="4"/>
      <c r="V4" s="4"/>
      <c r="W4" s="4"/>
      <c r="X4" s="12"/>
      <c r="Y4" s="12"/>
      <c r="Z4" s="4"/>
      <c r="AA4" s="4"/>
      <c r="AB4" s="4"/>
      <c r="AC4" s="4"/>
      <c r="AD4" s="13"/>
      <c r="AE4" s="13"/>
      <c r="AF4" s="15" t="s">
        <v>328</v>
      </c>
      <c r="AG4" s="302" t="s">
        <v>330</v>
      </c>
      <c r="AH4" s="15"/>
      <c r="AI4" s="16"/>
      <c r="AJ4" s="14"/>
      <c r="AK4" s="4"/>
    </row>
    <row r="5" spans="1:45" ht="21.75" customHeight="1" x14ac:dyDescent="0.35">
      <c r="A5" s="465"/>
      <c r="B5" s="18">
        <v>1</v>
      </c>
      <c r="C5" s="27"/>
      <c r="D5" s="485" t="s">
        <v>321</v>
      </c>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28"/>
      <c r="AH5" s="28"/>
      <c r="AI5" s="28"/>
      <c r="AJ5" s="28"/>
      <c r="AK5" s="29"/>
      <c r="AM5" s="303" t="s">
        <v>14</v>
      </c>
      <c r="AN5" s="304">
        <v>14</v>
      </c>
    </row>
    <row r="6" spans="1:45" ht="18" customHeight="1" x14ac:dyDescent="0.35">
      <c r="A6" s="465"/>
      <c r="B6" s="151">
        <v>2</v>
      </c>
      <c r="C6" s="19"/>
      <c r="D6" s="30"/>
      <c r="E6" s="30"/>
      <c r="F6" s="30"/>
      <c r="G6" s="30"/>
      <c r="H6" s="30"/>
      <c r="I6" s="30"/>
      <c r="J6" s="30"/>
      <c r="K6" s="30"/>
      <c r="L6" s="30"/>
      <c r="M6" s="30"/>
      <c r="N6" s="30"/>
      <c r="O6" s="30"/>
      <c r="P6" s="30"/>
      <c r="Q6" s="30"/>
      <c r="R6" s="30"/>
      <c r="S6" s="30"/>
      <c r="T6" s="30"/>
      <c r="U6" s="30"/>
      <c r="V6" s="30"/>
      <c r="W6" s="30"/>
      <c r="X6" s="30"/>
      <c r="Y6" s="30"/>
      <c r="Z6" s="30"/>
      <c r="AA6" s="28"/>
      <c r="AB6" s="28"/>
      <c r="AC6" s="28"/>
      <c r="AD6" s="28"/>
      <c r="AE6" s="28"/>
      <c r="AF6" s="28"/>
      <c r="AG6" s="28"/>
      <c r="AH6" s="28"/>
      <c r="AI6" s="28"/>
      <c r="AJ6" s="28"/>
      <c r="AK6" s="29"/>
      <c r="AM6" s="303" t="s">
        <v>13</v>
      </c>
      <c r="AN6" s="304">
        <v>22</v>
      </c>
    </row>
    <row r="7" spans="1:45" ht="18" customHeight="1" x14ac:dyDescent="0.35">
      <c r="A7" s="465"/>
      <c r="B7" s="151">
        <v>3</v>
      </c>
      <c r="C7" s="31"/>
      <c r="D7" s="32"/>
      <c r="E7" s="32"/>
      <c r="F7" s="32"/>
      <c r="G7" s="32"/>
      <c r="H7" s="32"/>
      <c r="I7" s="32"/>
      <c r="J7" s="32"/>
      <c r="K7" s="474" t="str">
        <f>IF(E16="","",E16&amp;" "&amp;H16&amp;" sq")</f>
        <v>600V CE-T 100 sq</v>
      </c>
      <c r="L7" s="474"/>
      <c r="M7" s="474"/>
      <c r="N7" s="474"/>
      <c r="O7" s="474"/>
      <c r="P7" s="474"/>
      <c r="Q7" s="474"/>
      <c r="R7" s="474"/>
      <c r="S7" s="32"/>
      <c r="T7" s="474" t="str">
        <f>IF(E17="","",E17&amp;" "&amp;H17&amp;" sq")</f>
        <v>600V CE-3C 60 sq</v>
      </c>
      <c r="U7" s="474"/>
      <c r="V7" s="474"/>
      <c r="W7" s="474"/>
      <c r="X7" s="474"/>
      <c r="Y7" s="474"/>
      <c r="Z7" s="474"/>
      <c r="AA7" s="474"/>
      <c r="AB7" s="59"/>
      <c r="AC7" s="32"/>
      <c r="AD7" s="32"/>
      <c r="AE7" s="32"/>
      <c r="AF7" s="447" t="str">
        <f>S17</f>
        <v>動力盤-1</v>
      </c>
      <c r="AG7" s="447"/>
      <c r="AH7" s="396"/>
      <c r="AI7" s="448">
        <f>IF(U17="","",U17*X17)</f>
        <v>33</v>
      </c>
      <c r="AJ7" s="448"/>
      <c r="AK7" s="449"/>
      <c r="AM7" s="303" t="s">
        <v>11</v>
      </c>
      <c r="AN7" s="304">
        <v>38</v>
      </c>
    </row>
    <row r="8" spans="1:45" ht="18" customHeight="1" x14ac:dyDescent="0.2">
      <c r="A8" s="465"/>
      <c r="B8" s="17">
        <v>4</v>
      </c>
      <c r="C8" s="22"/>
      <c r="D8" s="23"/>
      <c r="E8" s="24"/>
      <c r="F8" s="24"/>
      <c r="G8" s="24"/>
      <c r="H8" s="24"/>
      <c r="I8" s="24"/>
      <c r="J8" s="24"/>
      <c r="K8" s="24"/>
      <c r="L8" s="475" t="str">
        <f>IF(K16="","","L="&amp;K16&amp;" m")</f>
        <v>L=60 m</v>
      </c>
      <c r="M8" s="475"/>
      <c r="N8" s="475"/>
      <c r="O8" s="475"/>
      <c r="P8" s="475"/>
      <c r="Q8" s="60"/>
      <c r="R8" s="23"/>
      <c r="S8" s="24"/>
      <c r="T8" s="24"/>
      <c r="U8" s="475" t="str">
        <f>IF(K17="","","L="&amp;K17&amp;" m")</f>
        <v>L=25 m</v>
      </c>
      <c r="V8" s="475"/>
      <c r="W8" s="475"/>
      <c r="X8" s="475"/>
      <c r="Y8" s="475"/>
      <c r="Z8" s="475"/>
      <c r="AA8" s="23"/>
      <c r="AB8" s="23"/>
      <c r="AC8" s="23"/>
      <c r="AD8" s="24"/>
      <c r="AE8" s="24"/>
      <c r="AF8" s="475" t="str">
        <f>IF(AC17="","","cosφ="&amp;AC17)</f>
        <v>cosφ=0.7588</v>
      </c>
      <c r="AG8" s="475"/>
      <c r="AH8" s="397"/>
      <c r="AI8" s="483" t="str">
        <f>IF(Z17="",""," η="&amp;Z17)</f>
        <v xml:space="preserve"> η=0.8928</v>
      </c>
      <c r="AJ8" s="483"/>
      <c r="AK8" s="484"/>
      <c r="AM8" s="303" t="s">
        <v>12</v>
      </c>
      <c r="AN8" s="304">
        <v>60</v>
      </c>
    </row>
    <row r="9" spans="1:45" ht="18" customHeight="1" x14ac:dyDescent="0.2">
      <c r="A9" s="465"/>
      <c r="B9" s="17">
        <v>5</v>
      </c>
      <c r="C9" s="22"/>
      <c r="D9" s="466" t="str">
        <f>IF(E11="","","TR "&amp;E11&amp;" "&amp;E13&amp;"KVA")</f>
        <v>TR 3φ3W 100KVA</v>
      </c>
      <c r="E9" s="466"/>
      <c r="F9" s="466"/>
      <c r="G9" s="466"/>
      <c r="H9" s="466"/>
      <c r="I9" s="466"/>
      <c r="J9" s="466"/>
      <c r="K9" s="466"/>
      <c r="L9" s="24"/>
      <c r="M9" s="24"/>
      <c r="N9" s="24"/>
      <c r="O9" s="24"/>
      <c r="P9" s="23"/>
      <c r="Q9" s="23"/>
      <c r="R9" s="23"/>
      <c r="S9" s="24"/>
      <c r="T9" s="474" t="str">
        <f>IF(E18="","",E18&amp;" "&amp;H18&amp;" sq")</f>
        <v>600V CE-3C 60 sq</v>
      </c>
      <c r="U9" s="474"/>
      <c r="V9" s="474"/>
      <c r="W9" s="474"/>
      <c r="X9" s="474"/>
      <c r="Y9" s="474"/>
      <c r="Z9" s="474"/>
      <c r="AA9" s="474"/>
      <c r="AB9" s="59"/>
      <c r="AC9" s="23"/>
      <c r="AD9" s="24"/>
      <c r="AE9" s="24"/>
      <c r="AF9" s="447" t="str">
        <f>S18</f>
        <v>動力盤-2</v>
      </c>
      <c r="AG9" s="447"/>
      <c r="AH9" s="396"/>
      <c r="AI9" s="448">
        <f>IF(U18="","",U18*X18)</f>
        <v>18.5</v>
      </c>
      <c r="AJ9" s="448"/>
      <c r="AK9" s="449"/>
      <c r="AM9" s="303" t="s">
        <v>201</v>
      </c>
      <c r="AN9" s="304">
        <v>100</v>
      </c>
    </row>
    <row r="10" spans="1:45" ht="18" customHeight="1" x14ac:dyDescent="0.2">
      <c r="A10" s="465"/>
      <c r="B10" s="17">
        <v>6</v>
      </c>
      <c r="C10" s="22"/>
      <c r="D10" s="445" t="str">
        <f>IF(E11="","","6KV／"&amp;K13&amp;"V "&amp;N13&amp;"Hz")</f>
        <v>6KV／210V 50Hz</v>
      </c>
      <c r="E10" s="445"/>
      <c r="F10" s="445"/>
      <c r="G10" s="445"/>
      <c r="H10" s="445"/>
      <c r="I10" s="445"/>
      <c r="J10" s="282"/>
      <c r="K10" s="446" t="s">
        <v>319</v>
      </c>
      <c r="L10" s="446"/>
      <c r="M10" s="283"/>
      <c r="N10" s="446" t="s">
        <v>320</v>
      </c>
      <c r="O10" s="446"/>
      <c r="P10" s="446"/>
      <c r="Q10" s="23"/>
      <c r="R10" s="446" t="s">
        <v>333</v>
      </c>
      <c r="S10" s="446"/>
      <c r="T10" s="400"/>
      <c r="U10" s="475" t="str">
        <f>IF(K18="","","L="&amp;K18&amp;" m")</f>
        <v>L=20 m</v>
      </c>
      <c r="V10" s="475"/>
      <c r="W10" s="475"/>
      <c r="X10" s="475"/>
      <c r="Y10" s="475"/>
      <c r="Z10" s="475"/>
      <c r="AA10" s="23"/>
      <c r="AB10" s="23"/>
      <c r="AC10" s="23"/>
      <c r="AD10" s="24"/>
      <c r="AE10" s="24"/>
      <c r="AF10" s="475" t="str">
        <f>IF(AC18="","","cosφ="&amp;AC18)</f>
        <v>cosφ=0.7249</v>
      </c>
      <c r="AG10" s="475"/>
      <c r="AH10" s="397"/>
      <c r="AI10" s="483" t="str">
        <f>IF(Z18="",""," η="&amp;Z18)</f>
        <v xml:space="preserve"> η=0.8703</v>
      </c>
      <c r="AJ10" s="483"/>
      <c r="AK10" s="484"/>
      <c r="AM10" s="303"/>
      <c r="AN10" s="304">
        <v>150</v>
      </c>
    </row>
    <row r="11" spans="1:45" ht="18" customHeight="1" x14ac:dyDescent="0.35">
      <c r="A11" s="465"/>
      <c r="B11" s="17">
        <v>7</v>
      </c>
      <c r="C11" s="486" t="s">
        <v>222</v>
      </c>
      <c r="D11" s="413"/>
      <c r="E11" s="540" t="s">
        <v>337</v>
      </c>
      <c r="F11" s="541"/>
      <c r="G11" s="256"/>
      <c r="H11" s="256"/>
      <c r="I11" s="256"/>
      <c r="J11" s="256"/>
      <c r="K11" s="456">
        <f>IF(E11="","",'VD4'!AM20)</f>
        <v>70.72</v>
      </c>
      <c r="L11" s="457"/>
      <c r="M11" s="24"/>
      <c r="N11" s="456">
        <f>IF(E11="","",'VD4'!AM21)</f>
        <v>1.65</v>
      </c>
      <c r="O11" s="464"/>
      <c r="P11" s="457"/>
      <c r="Q11" s="23"/>
      <c r="R11" s="456">
        <f>IF(E11="","",'VD4'!M19)</f>
        <v>2.4536707195546841</v>
      </c>
      <c r="S11" s="457"/>
      <c r="T11" s="401"/>
      <c r="U11" s="399"/>
      <c r="V11" s="399"/>
      <c r="W11" s="455" t="s">
        <v>95</v>
      </c>
      <c r="X11" s="455"/>
      <c r="Y11" s="455"/>
      <c r="Z11" s="455"/>
      <c r="AA11" s="455"/>
      <c r="AB11" s="398"/>
      <c r="AC11" s="454" t="s">
        <v>96</v>
      </c>
      <c r="AD11" s="454"/>
      <c r="AE11" s="454"/>
      <c r="AF11" s="454"/>
      <c r="AG11" s="57"/>
      <c r="AH11" s="57"/>
      <c r="AI11" s="57"/>
      <c r="AJ11" s="57"/>
      <c r="AK11" s="58"/>
      <c r="AN11" s="304">
        <v>200</v>
      </c>
    </row>
    <row r="12" spans="1:45" ht="18" customHeight="1" x14ac:dyDescent="0.35">
      <c r="A12" s="465"/>
      <c r="B12" s="17">
        <v>8</v>
      </c>
      <c r="C12" s="36"/>
      <c r="D12" s="37"/>
      <c r="E12" s="488" t="s">
        <v>177</v>
      </c>
      <c r="F12" s="488"/>
      <c r="G12" s="526" t="s">
        <v>15</v>
      </c>
      <c r="H12" s="526"/>
      <c r="I12" s="526"/>
      <c r="J12" s="526"/>
      <c r="K12" s="491" t="s">
        <v>179</v>
      </c>
      <c r="L12" s="491"/>
      <c r="M12" s="62"/>
      <c r="N12" s="491" t="s">
        <v>178</v>
      </c>
      <c r="O12" s="491"/>
      <c r="P12" s="491"/>
      <c r="Q12" s="62"/>
      <c r="R12" s="554" t="s">
        <v>180</v>
      </c>
      <c r="S12" s="554"/>
      <c r="T12" s="527"/>
      <c r="U12" s="24"/>
      <c r="V12" s="24"/>
      <c r="W12" s="24"/>
      <c r="X12" s="24"/>
      <c r="Y12" s="24"/>
      <c r="Z12" s="24"/>
      <c r="AA12" s="37"/>
      <c r="AB12" s="37"/>
      <c r="AC12" s="37"/>
      <c r="AD12" s="24"/>
      <c r="AE12" s="24"/>
      <c r="AF12" s="24"/>
      <c r="AG12" s="24"/>
      <c r="AH12" s="24"/>
      <c r="AI12" s="24"/>
      <c r="AJ12" s="24"/>
      <c r="AK12" s="25"/>
      <c r="AN12" s="304">
        <v>250</v>
      </c>
    </row>
    <row r="13" spans="1:45" ht="18" customHeight="1" x14ac:dyDescent="0.35">
      <c r="A13" s="465"/>
      <c r="B13" s="151">
        <v>9</v>
      </c>
      <c r="C13" s="486" t="s">
        <v>176</v>
      </c>
      <c r="D13" s="413"/>
      <c r="E13" s="487">
        <v>100</v>
      </c>
      <c r="F13" s="487"/>
      <c r="G13" s="295"/>
      <c r="H13" s="489">
        <v>1</v>
      </c>
      <c r="I13" s="490"/>
      <c r="J13" s="295"/>
      <c r="K13" s="467">
        <v>210</v>
      </c>
      <c r="L13" s="467"/>
      <c r="M13" s="295"/>
      <c r="N13" s="548">
        <v>50</v>
      </c>
      <c r="O13" s="549"/>
      <c r="P13" s="550"/>
      <c r="Q13" s="295"/>
      <c r="R13" s="551" t="s">
        <v>338</v>
      </c>
      <c r="S13" s="552"/>
      <c r="T13" s="553"/>
      <c r="U13" s="231"/>
      <c r="V13" s="43"/>
      <c r="W13" s="43"/>
      <c r="X13" s="43"/>
      <c r="Y13" s="55"/>
      <c r="Z13" s="478" t="s">
        <v>7</v>
      </c>
      <c r="AA13" s="478"/>
      <c r="AB13" s="152"/>
      <c r="AC13" s="37"/>
      <c r="AD13" s="478" t="s">
        <v>8</v>
      </c>
      <c r="AE13" s="478"/>
      <c r="AF13" s="478"/>
      <c r="AG13" s="24"/>
      <c r="AH13" s="41"/>
      <c r="AI13" s="478" t="s">
        <v>9</v>
      </c>
      <c r="AJ13" s="478"/>
      <c r="AK13" s="25"/>
      <c r="AN13" s="304">
        <v>325</v>
      </c>
    </row>
    <row r="14" spans="1:45" ht="13.5" customHeight="1" x14ac:dyDescent="0.35">
      <c r="A14" s="465"/>
      <c r="B14" s="470">
        <v>10</v>
      </c>
      <c r="C14" s="44"/>
      <c r="D14" s="45"/>
      <c r="E14" s="46"/>
      <c r="F14" s="46"/>
      <c r="G14" s="46"/>
      <c r="H14" s="555" t="str">
        <f>IF(E16="","","sq")</f>
        <v>sq</v>
      </c>
      <c r="I14" s="555"/>
      <c r="J14" s="46"/>
      <c r="K14" s="558" t="s">
        <v>182</v>
      </c>
      <c r="L14" s="558"/>
      <c r="M14" s="46"/>
      <c r="N14" s="558" t="s">
        <v>181</v>
      </c>
      <c r="O14" s="232"/>
      <c r="P14" s="497" t="s">
        <v>183</v>
      </c>
      <c r="Q14" s="497"/>
      <c r="R14" s="497"/>
      <c r="S14" s="46"/>
      <c r="T14" s="46"/>
      <c r="U14" s="41"/>
      <c r="V14" s="476" t="s">
        <v>6</v>
      </c>
      <c r="W14" s="476"/>
      <c r="X14" s="476"/>
      <c r="Y14" s="476"/>
      <c r="Z14" s="492">
        <v>50</v>
      </c>
      <c r="AA14" s="493"/>
      <c r="AB14" s="153"/>
      <c r="AC14" s="45"/>
      <c r="AD14" s="494">
        <f>IF(Z14="","",Z14)</f>
        <v>50</v>
      </c>
      <c r="AE14" s="495"/>
      <c r="AF14" s="496"/>
      <c r="AG14" s="41"/>
      <c r="AH14" s="46"/>
      <c r="AI14" s="492">
        <v>40</v>
      </c>
      <c r="AJ14" s="493"/>
      <c r="AK14" s="47"/>
      <c r="AN14" s="304"/>
    </row>
    <row r="15" spans="1:45" ht="4.5" customHeight="1" x14ac:dyDescent="0.35">
      <c r="A15" s="465"/>
      <c r="B15" s="470"/>
      <c r="C15" s="48"/>
      <c r="D15" s="49"/>
      <c r="E15" s="46"/>
      <c r="F15" s="46"/>
      <c r="G15" s="46"/>
      <c r="H15" s="556"/>
      <c r="I15" s="556"/>
      <c r="J15" s="228"/>
      <c r="K15" s="554"/>
      <c r="L15" s="554"/>
      <c r="M15" s="46"/>
      <c r="N15" s="497"/>
      <c r="O15" s="232"/>
      <c r="P15" s="497"/>
      <c r="Q15" s="497"/>
      <c r="R15" s="497"/>
      <c r="S15" s="42"/>
      <c r="T15" s="42"/>
      <c r="U15" s="42"/>
      <c r="V15" s="477"/>
      <c r="W15" s="477"/>
      <c r="X15" s="477"/>
      <c r="Y15" s="477"/>
      <c r="Z15" s="51"/>
      <c r="AA15" s="51"/>
      <c r="AB15" s="51"/>
      <c r="AC15" s="52"/>
      <c r="AD15" s="51"/>
      <c r="AE15" s="51"/>
      <c r="AF15" s="51"/>
      <c r="AG15" s="53"/>
      <c r="AH15" s="53"/>
      <c r="AI15" s="51"/>
      <c r="AJ15" s="51"/>
      <c r="AK15" s="50"/>
      <c r="AN15" s="304"/>
    </row>
    <row r="16" spans="1:45" ht="18" customHeight="1" x14ac:dyDescent="0.35">
      <c r="A16" s="465"/>
      <c r="B16" s="17">
        <v>11</v>
      </c>
      <c r="C16" s="471" t="s">
        <v>7</v>
      </c>
      <c r="D16" s="472"/>
      <c r="E16" s="473" t="s">
        <v>339</v>
      </c>
      <c r="F16" s="473"/>
      <c r="G16" s="296"/>
      <c r="H16" s="468">
        <v>100</v>
      </c>
      <c r="I16" s="469"/>
      <c r="J16" s="297"/>
      <c r="K16" s="557">
        <v>60</v>
      </c>
      <c r="L16" s="557"/>
      <c r="M16" s="297"/>
      <c r="N16" s="298">
        <v>1</v>
      </c>
      <c r="O16" s="297"/>
      <c r="P16" s="453" t="s">
        <v>340</v>
      </c>
      <c r="Q16" s="453"/>
      <c r="R16" s="453"/>
      <c r="S16" s="24"/>
      <c r="T16" s="24"/>
      <c r="U16" s="450" t="s">
        <v>10</v>
      </c>
      <c r="V16" s="450"/>
      <c r="W16" s="62"/>
      <c r="X16" s="227" t="s">
        <v>15</v>
      </c>
      <c r="Y16" s="56"/>
      <c r="Z16" s="451" t="s">
        <v>169</v>
      </c>
      <c r="AA16" s="451"/>
      <c r="AB16" s="56"/>
      <c r="AC16" s="451" t="s">
        <v>170</v>
      </c>
      <c r="AD16" s="451"/>
      <c r="AE16" s="56"/>
      <c r="AF16" s="451" t="s">
        <v>168</v>
      </c>
      <c r="AG16" s="451"/>
      <c r="AH16" s="56"/>
      <c r="AI16" s="452" t="s">
        <v>323</v>
      </c>
      <c r="AJ16" s="451"/>
      <c r="AK16" s="25"/>
      <c r="AN16" s="150"/>
    </row>
    <row r="17" spans="1:42" ht="18" customHeight="1" x14ac:dyDescent="0.35">
      <c r="A17" s="465"/>
      <c r="B17" s="17">
        <v>12</v>
      </c>
      <c r="C17" s="471" t="s">
        <v>8</v>
      </c>
      <c r="D17" s="472"/>
      <c r="E17" s="473" t="s">
        <v>341</v>
      </c>
      <c r="F17" s="473"/>
      <c r="G17" s="296"/>
      <c r="H17" s="468">
        <v>60</v>
      </c>
      <c r="I17" s="469"/>
      <c r="J17" s="297"/>
      <c r="K17" s="557">
        <v>25</v>
      </c>
      <c r="L17" s="557"/>
      <c r="M17" s="297"/>
      <c r="N17" s="298">
        <v>1</v>
      </c>
      <c r="O17" s="297"/>
      <c r="P17" s="453" t="s">
        <v>185</v>
      </c>
      <c r="Q17" s="453"/>
      <c r="R17" s="453"/>
      <c r="S17" s="460" t="str">
        <f>IF(LEFT(E11,1)="1","照明盤-1","動力盤-1")</f>
        <v>動力盤-1</v>
      </c>
      <c r="T17" s="460"/>
      <c r="U17" s="461">
        <v>5.5</v>
      </c>
      <c r="V17" s="461"/>
      <c r="W17" s="299"/>
      <c r="X17" s="300">
        <v>6</v>
      </c>
      <c r="Y17" s="54"/>
      <c r="Z17" s="458">
        <f>IF(U17="","",INT(10000*'Load-List'!O11/100)/10000)</f>
        <v>0.89280000000000004</v>
      </c>
      <c r="AA17" s="459"/>
      <c r="AB17" s="54"/>
      <c r="AC17" s="458">
        <f>IF(U17="","",INT(10000*'Load-List'!P11/100)/10000)</f>
        <v>0.75880000000000003</v>
      </c>
      <c r="AD17" s="459"/>
      <c r="AE17" s="54"/>
      <c r="AF17" s="458">
        <f>IF(U17="","",'Load-List'!Q11/100)</f>
        <v>0.76033057851239649</v>
      </c>
      <c r="AG17" s="459"/>
      <c r="AH17" s="54"/>
      <c r="AI17" s="462">
        <v>0.85</v>
      </c>
      <c r="AJ17" s="463"/>
      <c r="AK17" s="25"/>
      <c r="AM17" s="304" t="s">
        <v>184</v>
      </c>
      <c r="AN17" s="305">
        <v>0.2</v>
      </c>
      <c r="AO17" s="304">
        <v>14</v>
      </c>
      <c r="AP17" s="308"/>
    </row>
    <row r="18" spans="1:42" ht="18" customHeight="1" x14ac:dyDescent="0.35">
      <c r="A18" s="465"/>
      <c r="B18" s="17">
        <v>13</v>
      </c>
      <c r="C18" s="471" t="s">
        <v>9</v>
      </c>
      <c r="D18" s="472"/>
      <c r="E18" s="473" t="s">
        <v>341</v>
      </c>
      <c r="F18" s="473"/>
      <c r="G18" s="296"/>
      <c r="H18" s="468">
        <v>60</v>
      </c>
      <c r="I18" s="469"/>
      <c r="J18" s="297"/>
      <c r="K18" s="557">
        <v>20</v>
      </c>
      <c r="L18" s="557"/>
      <c r="M18" s="297"/>
      <c r="N18" s="298">
        <v>1</v>
      </c>
      <c r="O18" s="297"/>
      <c r="P18" s="453" t="s">
        <v>185</v>
      </c>
      <c r="Q18" s="453"/>
      <c r="R18" s="453"/>
      <c r="S18" s="460" t="str">
        <f>IF(LEFT(E11,1)="1","照明盤-2","動力盤-2")</f>
        <v>動力盤-2</v>
      </c>
      <c r="T18" s="460"/>
      <c r="U18" s="461">
        <v>3.7</v>
      </c>
      <c r="V18" s="461"/>
      <c r="W18" s="299"/>
      <c r="X18" s="300">
        <v>5</v>
      </c>
      <c r="Y18" s="54"/>
      <c r="Z18" s="458">
        <f>IF(U18="","",INT(10000*'Load-List'!O18/100)/10000)</f>
        <v>0.87029999999999996</v>
      </c>
      <c r="AA18" s="459"/>
      <c r="AB18" s="54"/>
      <c r="AC18" s="458">
        <f>IF(U18="","",INT(10000*'Load-List'!P18/100)/10000)</f>
        <v>0.72489999999999999</v>
      </c>
      <c r="AD18" s="459"/>
      <c r="AE18" s="54"/>
      <c r="AF18" s="458">
        <f>IF(U18="","",'Load-List'!Q18/100)</f>
        <v>0.72481572481572476</v>
      </c>
      <c r="AG18" s="459"/>
      <c r="AH18" s="54"/>
      <c r="AI18" s="462">
        <v>1</v>
      </c>
      <c r="AJ18" s="463"/>
      <c r="AK18" s="25"/>
      <c r="AM18" s="304" t="s">
        <v>185</v>
      </c>
      <c r="AN18" s="305">
        <v>0.4</v>
      </c>
      <c r="AO18" s="304">
        <v>22</v>
      </c>
      <c r="AP18" s="308"/>
    </row>
    <row r="19" spans="1:42" ht="18" customHeight="1" x14ac:dyDescent="0.2">
      <c r="A19" s="465"/>
      <c r="B19" s="17">
        <v>14</v>
      </c>
      <c r="C19" s="36"/>
      <c r="D19" s="37"/>
      <c r="E19" s="24"/>
      <c r="F19" s="24"/>
      <c r="G19" s="24"/>
      <c r="H19" s="24"/>
      <c r="I19" s="24"/>
      <c r="J19" s="24"/>
      <c r="K19" s="42"/>
      <c r="L19" s="42"/>
      <c r="M19" s="42"/>
      <c r="N19" s="24"/>
      <c r="O19" s="24"/>
      <c r="P19" s="37"/>
      <c r="Q19" s="37"/>
      <c r="R19" s="37"/>
      <c r="S19" s="24"/>
      <c r="T19" s="24"/>
      <c r="U19" s="42"/>
      <c r="V19" s="42"/>
      <c r="W19" s="42"/>
      <c r="X19" s="24"/>
      <c r="Y19" s="24"/>
      <c r="Z19" s="24"/>
      <c r="AA19" s="37"/>
      <c r="AB19" s="37"/>
      <c r="AC19" s="37"/>
      <c r="AD19" s="24"/>
      <c r="AE19" s="24"/>
      <c r="AF19" s="24"/>
      <c r="AG19" s="24"/>
      <c r="AH19" s="24"/>
      <c r="AI19" s="24"/>
      <c r="AJ19" s="24"/>
      <c r="AK19" s="25"/>
      <c r="AM19" s="304" t="s">
        <v>186</v>
      </c>
      <c r="AN19" s="305">
        <v>0.75</v>
      </c>
      <c r="AO19" s="304">
        <v>38</v>
      </c>
      <c r="AP19" s="308"/>
    </row>
    <row r="20" spans="1:42" ht="18" customHeight="1" x14ac:dyDescent="0.35">
      <c r="A20" s="465"/>
      <c r="B20" s="17">
        <v>15</v>
      </c>
      <c r="C20" s="498" t="s">
        <v>173</v>
      </c>
      <c r="D20" s="499"/>
      <c r="E20" s="499"/>
      <c r="F20" s="499"/>
      <c r="G20" s="499"/>
      <c r="H20" s="499"/>
      <c r="I20" s="499"/>
      <c r="J20" s="226"/>
      <c r="K20" s="481" t="s">
        <v>192</v>
      </c>
      <c r="L20" s="481"/>
      <c r="M20" s="481"/>
      <c r="N20" s="481"/>
      <c r="O20" s="481"/>
      <c r="P20" s="481"/>
      <c r="Q20" s="481"/>
      <c r="R20" s="481"/>
      <c r="S20" s="479" t="s">
        <v>174</v>
      </c>
      <c r="T20" s="479"/>
      <c r="U20" s="479"/>
      <c r="V20" s="479"/>
      <c r="W20" s="479"/>
      <c r="X20" s="479"/>
      <c r="Y20" s="479"/>
      <c r="Z20" s="479"/>
      <c r="AA20" s="479"/>
      <c r="AB20" s="479"/>
      <c r="AC20" s="479"/>
      <c r="AD20" s="479"/>
      <c r="AE20" s="479"/>
      <c r="AF20" s="479"/>
      <c r="AG20" s="479"/>
      <c r="AH20" s="479"/>
      <c r="AI20" s="479"/>
      <c r="AJ20" s="479"/>
      <c r="AK20" s="480"/>
      <c r="AM20" s="304" t="s">
        <v>187</v>
      </c>
      <c r="AN20" s="305">
        <v>1.5</v>
      </c>
      <c r="AO20" s="304">
        <v>60</v>
      </c>
      <c r="AP20" s="308"/>
    </row>
    <row r="21" spans="1:42" ht="18" customHeight="1" x14ac:dyDescent="0.35">
      <c r="A21" s="465"/>
      <c r="B21" s="17">
        <v>16</v>
      </c>
      <c r="C21" s="223"/>
      <c r="D21" s="224"/>
      <c r="E21" s="61"/>
      <c r="F21" s="61"/>
      <c r="G21" s="61"/>
      <c r="H21" s="61"/>
      <c r="I21" s="61"/>
      <c r="J21" s="61"/>
      <c r="K21" s="481" t="s">
        <v>317</v>
      </c>
      <c r="L21" s="481"/>
      <c r="M21" s="481"/>
      <c r="N21" s="481"/>
      <c r="O21" s="481"/>
      <c r="P21" s="481"/>
      <c r="Q21" s="481"/>
      <c r="R21" s="481"/>
      <c r="S21" s="481" t="s">
        <v>193</v>
      </c>
      <c r="T21" s="481"/>
      <c r="U21" s="481"/>
      <c r="V21" s="481"/>
      <c r="W21" s="481"/>
      <c r="X21" s="481"/>
      <c r="Y21" s="481"/>
      <c r="Z21" s="481"/>
      <c r="AA21" s="481"/>
      <c r="AB21" s="481"/>
      <c r="AC21" s="481"/>
      <c r="AD21" s="481"/>
      <c r="AE21" s="481"/>
      <c r="AF21" s="481"/>
      <c r="AG21" s="481"/>
      <c r="AH21" s="481"/>
      <c r="AI21" s="481"/>
      <c r="AJ21" s="481"/>
      <c r="AK21" s="482"/>
      <c r="AM21" s="304" t="s">
        <v>188</v>
      </c>
      <c r="AN21" s="305">
        <v>2.2000000000000002</v>
      </c>
      <c r="AO21" s="304">
        <v>100</v>
      </c>
      <c r="AP21" s="308"/>
    </row>
    <row r="22" spans="1:42" ht="18" customHeight="1" x14ac:dyDescent="0.35">
      <c r="A22" s="465"/>
      <c r="B22" s="17">
        <v>17</v>
      </c>
      <c r="C22" s="486" t="s">
        <v>175</v>
      </c>
      <c r="D22" s="413"/>
      <c r="E22" s="413"/>
      <c r="F22" s="413"/>
      <c r="G22" s="413"/>
      <c r="H22" s="413"/>
      <c r="I22" s="413"/>
      <c r="J22" s="413"/>
      <c r="K22" s="413"/>
      <c r="L22" s="301">
        <v>10</v>
      </c>
      <c r="M22" s="230"/>
      <c r="N22" s="225" t="str">
        <f>IF(L22="",""," [％]")</f>
        <v xml:space="preserve"> [％]</v>
      </c>
      <c r="O22" s="225"/>
      <c r="P22" s="37"/>
      <c r="Q22" s="37"/>
      <c r="R22" s="37"/>
      <c r="S22" s="24"/>
      <c r="T22" s="24"/>
      <c r="U22" s="24"/>
      <c r="V22" s="24"/>
      <c r="W22" s="24"/>
      <c r="X22" s="24"/>
      <c r="Y22" s="24"/>
      <c r="Z22" s="24"/>
      <c r="AA22" s="37"/>
      <c r="AB22" s="37"/>
      <c r="AC22" s="37"/>
      <c r="AD22" s="24"/>
      <c r="AE22" s="24"/>
      <c r="AF22" s="24"/>
      <c r="AG22" s="24"/>
      <c r="AH22" s="24"/>
      <c r="AI22" s="24"/>
      <c r="AJ22" s="24"/>
      <c r="AK22" s="25"/>
      <c r="AM22" s="304" t="s">
        <v>189</v>
      </c>
      <c r="AN22" s="305">
        <v>3.7</v>
      </c>
      <c r="AO22" s="304">
        <v>150</v>
      </c>
      <c r="AP22" s="308"/>
    </row>
    <row r="23" spans="1:42" ht="18" customHeight="1" x14ac:dyDescent="0.2">
      <c r="A23" s="465"/>
      <c r="B23" s="17">
        <v>18</v>
      </c>
      <c r="C23" s="36"/>
      <c r="D23" s="37"/>
      <c r="E23" s="24"/>
      <c r="F23" s="24"/>
      <c r="G23" s="24"/>
      <c r="H23" s="24"/>
      <c r="I23" s="24"/>
      <c r="J23" s="24"/>
      <c r="K23" s="24"/>
      <c r="L23" s="24"/>
      <c r="M23" s="24"/>
      <c r="N23" s="24"/>
      <c r="O23" s="24"/>
      <c r="P23" s="37"/>
      <c r="Q23" s="37"/>
      <c r="R23" s="37"/>
      <c r="S23" s="24"/>
      <c r="T23" s="24"/>
      <c r="U23" s="24"/>
      <c r="V23" s="24"/>
      <c r="W23" s="24"/>
      <c r="X23" s="24"/>
      <c r="Y23" s="24"/>
      <c r="Z23" s="24"/>
      <c r="AA23" s="37"/>
      <c r="AB23" s="37"/>
      <c r="AC23" s="37"/>
      <c r="AD23" s="24"/>
      <c r="AE23" s="24"/>
      <c r="AF23" s="24"/>
      <c r="AG23" s="24"/>
      <c r="AH23" s="24"/>
      <c r="AI23" s="24"/>
      <c r="AJ23" s="24"/>
      <c r="AK23" s="25"/>
      <c r="AM23" s="304"/>
      <c r="AN23" s="305">
        <v>5.5</v>
      </c>
      <c r="AO23" s="304">
        <v>200</v>
      </c>
      <c r="AP23" s="308"/>
    </row>
    <row r="24" spans="1:42" ht="18" customHeight="1" x14ac:dyDescent="0.35">
      <c r="A24" s="465"/>
      <c r="B24" s="17">
        <v>19</v>
      </c>
      <c r="C24" s="36"/>
      <c r="D24" s="37"/>
      <c r="E24" s="500" t="s">
        <v>194</v>
      </c>
      <c r="F24" s="500"/>
      <c r="G24" s="500"/>
      <c r="H24" s="500"/>
      <c r="I24" s="500"/>
      <c r="J24" s="500"/>
      <c r="K24" s="500"/>
      <c r="L24" s="500"/>
      <c r="M24" s="24"/>
      <c r="N24" s="24"/>
      <c r="O24" s="500" t="s">
        <v>195</v>
      </c>
      <c r="P24" s="500"/>
      <c r="Q24" s="500"/>
      <c r="R24" s="500"/>
      <c r="S24" s="500"/>
      <c r="T24" s="500"/>
      <c r="U24" s="500"/>
      <c r="V24" s="233"/>
      <c r="W24" s="500" t="s">
        <v>195</v>
      </c>
      <c r="X24" s="500"/>
      <c r="Y24" s="500"/>
      <c r="Z24" s="500"/>
      <c r="AA24" s="500"/>
      <c r="AB24" s="500"/>
      <c r="AC24" s="500"/>
      <c r="AD24" s="500"/>
      <c r="AE24" s="24"/>
      <c r="AF24" s="24"/>
      <c r="AG24" s="24"/>
      <c r="AH24" s="24"/>
      <c r="AI24" s="24"/>
      <c r="AJ24" s="24"/>
      <c r="AK24" s="25"/>
      <c r="AN24" s="305">
        <v>7.5</v>
      </c>
      <c r="AO24" s="304">
        <v>250</v>
      </c>
      <c r="AP24" s="308"/>
    </row>
    <row r="25" spans="1:42" ht="18" customHeight="1" x14ac:dyDescent="0.35">
      <c r="A25" s="465"/>
      <c r="B25" s="17">
        <v>20</v>
      </c>
      <c r="C25" s="486" t="s">
        <v>190</v>
      </c>
      <c r="D25" s="413"/>
      <c r="E25" s="512">
        <f>IF(K16="","",30.8*(1+0.00393*(Z14-20))*K16/H16)</f>
        <v>20.658792000000002</v>
      </c>
      <c r="F25" s="513"/>
      <c r="G25" s="514"/>
      <c r="H25" s="510" t="str">
        <f>IF(E25="","","+j ")</f>
        <v xml:space="preserve">+j </v>
      </c>
      <c r="I25" s="511"/>
      <c r="J25" s="503" t="str">
        <f>IF(E25="","","計算不能")</f>
        <v>計算不能</v>
      </c>
      <c r="K25" s="504"/>
      <c r="L25" s="505"/>
      <c r="M25" s="24"/>
      <c r="N25" s="24"/>
      <c r="O25" s="502">
        <f>IF(K17="","",30.8*(1+0.00393*(AD14-20))*K17/H17)</f>
        <v>14.346383333333335</v>
      </c>
      <c r="P25" s="502"/>
      <c r="Q25" s="502"/>
      <c r="R25" s="502"/>
      <c r="S25" s="402" t="str">
        <f>IF(O25="","","+j ")</f>
        <v xml:space="preserve">+j </v>
      </c>
      <c r="T25" s="507" t="str">
        <f>IF(O25="","","計算不能")</f>
        <v>計算不能</v>
      </c>
      <c r="U25" s="507"/>
      <c r="V25" s="24"/>
      <c r="W25" s="502">
        <f>IF(K18="","",30.8*(1+0.00393*(AI14-20))*K18/H18)</f>
        <v>11.073626666666666</v>
      </c>
      <c r="X25" s="502"/>
      <c r="Y25" s="502"/>
      <c r="Z25" s="502"/>
      <c r="AA25" s="402" t="str">
        <f>IF(W25="","","+j ")</f>
        <v xml:space="preserve">+j </v>
      </c>
      <c r="AB25" s="503" t="str">
        <f>IF(W25="","","計算不能")</f>
        <v>計算不能</v>
      </c>
      <c r="AC25" s="504"/>
      <c r="AD25" s="505"/>
      <c r="AE25" s="24"/>
      <c r="AF25" s="24"/>
      <c r="AG25" s="24"/>
      <c r="AH25" s="24"/>
      <c r="AI25" s="24"/>
      <c r="AJ25" s="24"/>
      <c r="AK25" s="25"/>
      <c r="AN25" s="305">
        <v>11</v>
      </c>
      <c r="AO25" s="304">
        <v>325</v>
      </c>
      <c r="AP25" s="308"/>
    </row>
    <row r="26" spans="1:42" ht="18" customHeight="1" x14ac:dyDescent="0.35">
      <c r="A26" s="465"/>
      <c r="B26" s="17">
        <v>21</v>
      </c>
      <c r="C26" s="486" t="s">
        <v>191</v>
      </c>
      <c r="D26" s="413"/>
      <c r="E26" s="512">
        <f>IF(K16="","",'VD4'!X21)</f>
        <v>21.866628662889163</v>
      </c>
      <c r="F26" s="513"/>
      <c r="G26" s="514"/>
      <c r="H26" s="510" t="str">
        <f>IF(E26="","","+j ")</f>
        <v xml:space="preserve">+j </v>
      </c>
      <c r="I26" s="511"/>
      <c r="J26" s="506">
        <f>IF(K16="","",'VD4'!Z21)</f>
        <v>9.1764051784999108</v>
      </c>
      <c r="K26" s="506"/>
      <c r="L26" s="506"/>
      <c r="M26" s="24"/>
      <c r="N26" s="24"/>
      <c r="O26" s="502">
        <f>IF(K17="","",'VD4'!AB21)</f>
        <v>15.071270102720483</v>
      </c>
      <c r="P26" s="502"/>
      <c r="Q26" s="502"/>
      <c r="R26" s="502"/>
      <c r="S26" s="402" t="str">
        <f>IF(O26="","","+j ")</f>
        <v xml:space="preserve">+j </v>
      </c>
      <c r="T26" s="508">
        <f>IF(K17="","",'VD4'!AD21)</f>
        <v>3.3471881856268548</v>
      </c>
      <c r="U26" s="509"/>
      <c r="V26" s="24"/>
      <c r="W26" s="502">
        <f>IF(K18="","",'VD4'!AB25)</f>
        <v>11.63314924969626</v>
      </c>
      <c r="X26" s="502"/>
      <c r="Y26" s="502"/>
      <c r="Z26" s="502"/>
      <c r="AA26" s="402" t="str">
        <f>IF(W26="","","+j ")</f>
        <v xml:space="preserve">+j </v>
      </c>
      <c r="AB26" s="506">
        <f>IF(K18="","",'VD4'!AD25)</f>
        <v>2.6777505485014839</v>
      </c>
      <c r="AC26" s="506"/>
      <c r="AD26" s="506"/>
      <c r="AE26" s="24"/>
      <c r="AF26" s="24"/>
      <c r="AG26" s="24"/>
      <c r="AH26" s="24"/>
      <c r="AI26" s="24"/>
      <c r="AJ26" s="24"/>
      <c r="AK26" s="25"/>
      <c r="AN26" s="305">
        <v>15</v>
      </c>
      <c r="AO26" s="304"/>
      <c r="AP26" s="308"/>
    </row>
    <row r="27" spans="1:42" ht="18" customHeight="1" x14ac:dyDescent="0.35">
      <c r="A27" s="465"/>
      <c r="B27" s="17">
        <v>22</v>
      </c>
      <c r="C27" s="486" t="s">
        <v>208</v>
      </c>
      <c r="D27" s="413"/>
      <c r="E27" s="414">
        <f>IF(E25="","",ABS(100*(E25-E26)/E26))</f>
        <v>5.5236528753928793</v>
      </c>
      <c r="F27" s="414"/>
      <c r="G27" s="414"/>
      <c r="H27" s="24"/>
      <c r="I27" s="24"/>
      <c r="J27" s="443">
        <f>IF(E27="","",100)</f>
        <v>100</v>
      </c>
      <c r="K27" s="529"/>
      <c r="L27" s="444"/>
      <c r="M27" s="252"/>
      <c r="N27" s="252"/>
      <c r="O27" s="415">
        <f>IF(O25="","",ABS(100*(O25-O26)/O26))</f>
        <v>4.8097258190356476</v>
      </c>
      <c r="P27" s="415"/>
      <c r="Q27" s="415"/>
      <c r="R27" s="415"/>
      <c r="S27" s="252"/>
      <c r="T27" s="416">
        <f>IF(O27="","",100)</f>
        <v>100</v>
      </c>
      <c r="U27" s="418"/>
      <c r="V27" s="252"/>
      <c r="W27" s="415">
        <f>IF(W25="","",ABS(100*(W25-W26)/W26))</f>
        <v>4.8097258190356564</v>
      </c>
      <c r="X27" s="415"/>
      <c r="Y27" s="415"/>
      <c r="Z27" s="415"/>
      <c r="AA27" s="252"/>
      <c r="AB27" s="416">
        <f>IF(W27="","",100)</f>
        <v>100</v>
      </c>
      <c r="AC27" s="417"/>
      <c r="AD27" s="418"/>
      <c r="AE27" s="24"/>
      <c r="AF27" s="41"/>
      <c r="AG27" s="41"/>
      <c r="AH27" s="41"/>
      <c r="AI27" s="41"/>
      <c r="AJ27" s="41"/>
      <c r="AK27" s="25"/>
      <c r="AN27" s="305">
        <v>22</v>
      </c>
      <c r="AO27" s="304">
        <v>330</v>
      </c>
      <c r="AP27" s="306" t="s">
        <v>202</v>
      </c>
    </row>
    <row r="28" spans="1:42" ht="18" customHeight="1" x14ac:dyDescent="0.2">
      <c r="A28" s="465"/>
      <c r="B28" s="17">
        <v>23</v>
      </c>
      <c r="C28" s="243"/>
      <c r="D28" s="244"/>
      <c r="E28" s="251"/>
      <c r="F28" s="251"/>
      <c r="G28" s="251"/>
      <c r="H28" s="244"/>
      <c r="I28" s="244"/>
      <c r="J28" s="251"/>
      <c r="K28" s="251"/>
      <c r="L28" s="251"/>
      <c r="M28" s="244"/>
      <c r="N28" s="244"/>
      <c r="O28" s="251"/>
      <c r="P28" s="251"/>
      <c r="Q28" s="251"/>
      <c r="R28" s="251"/>
      <c r="S28" s="244"/>
      <c r="T28" s="251"/>
      <c r="U28" s="251"/>
      <c r="V28" s="244"/>
      <c r="W28" s="251"/>
      <c r="X28" s="251"/>
      <c r="Y28" s="251"/>
      <c r="Z28" s="251"/>
      <c r="AA28" s="244"/>
      <c r="AB28" s="251"/>
      <c r="AC28" s="251"/>
      <c r="AD28" s="251"/>
      <c r="AE28" s="244"/>
      <c r="AF28" s="421" t="s">
        <v>336</v>
      </c>
      <c r="AG28" s="422"/>
      <c r="AH28" s="422"/>
      <c r="AI28" s="422"/>
      <c r="AJ28" s="423"/>
      <c r="AK28" s="245"/>
      <c r="AN28" s="305">
        <v>30</v>
      </c>
      <c r="AO28" s="304">
        <v>450</v>
      </c>
      <c r="AP28" s="306" t="s">
        <v>203</v>
      </c>
    </row>
    <row r="29" spans="1:42" ht="18" customHeight="1" x14ac:dyDescent="0.35">
      <c r="A29" s="465"/>
      <c r="B29" s="17">
        <v>24</v>
      </c>
      <c r="C29" s="538" t="s">
        <v>218</v>
      </c>
      <c r="D29" s="539"/>
      <c r="E29" s="539"/>
      <c r="F29" s="436" t="s">
        <v>219</v>
      </c>
      <c r="G29" s="436"/>
      <c r="H29" s="436"/>
      <c r="I29" s="436"/>
      <c r="J29" s="250"/>
      <c r="K29" s="547" t="s">
        <v>220</v>
      </c>
      <c r="L29" s="547"/>
      <c r="M29" s="246"/>
      <c r="N29" s="501" t="s">
        <v>221</v>
      </c>
      <c r="O29" s="501"/>
      <c r="P29" s="501"/>
      <c r="Q29" s="258"/>
      <c r="R29" s="258"/>
      <c r="S29" s="258"/>
      <c r="T29" s="249"/>
      <c r="U29" s="249"/>
      <c r="V29" s="249"/>
      <c r="W29" s="249"/>
      <c r="X29" s="249"/>
      <c r="Y29" s="249"/>
      <c r="Z29" s="249"/>
      <c r="AA29" s="249"/>
      <c r="AB29" s="248"/>
      <c r="AC29" s="255"/>
      <c r="AD29" s="255"/>
      <c r="AE29" s="253"/>
      <c r="AF29" s="424"/>
      <c r="AG29" s="425"/>
      <c r="AH29" s="425"/>
      <c r="AI29" s="425"/>
      <c r="AJ29" s="426"/>
      <c r="AK29" s="287"/>
      <c r="AN29" s="305">
        <v>37</v>
      </c>
      <c r="AO29" s="304">
        <v>600</v>
      </c>
      <c r="AP29" s="306" t="s">
        <v>204</v>
      </c>
    </row>
    <row r="30" spans="1:42" ht="18" customHeight="1" x14ac:dyDescent="0.35">
      <c r="A30" s="465"/>
      <c r="B30" s="17">
        <v>25</v>
      </c>
      <c r="C30" s="247"/>
      <c r="D30" s="413" t="s">
        <v>190</v>
      </c>
      <c r="E30" s="413"/>
      <c r="F30" s="437">
        <f>IF(E25="","",(R35+R40)*E25/1000)</f>
        <v>4.0171891216934981</v>
      </c>
      <c r="G30" s="437"/>
      <c r="H30" s="437"/>
      <c r="I30" s="437"/>
      <c r="J30" s="408"/>
      <c r="K30" s="437">
        <f>IF(O25="","",R35*O25/1000)</f>
        <v>1.6331041056394018</v>
      </c>
      <c r="L30" s="437"/>
      <c r="M30" s="408"/>
      <c r="N30" s="544">
        <f>IF(W25="","",R40*W25/1000)</f>
        <v>0.89275974766435973</v>
      </c>
      <c r="O30" s="545"/>
      <c r="P30" s="546"/>
      <c r="Q30" s="257"/>
      <c r="R30" s="288"/>
      <c r="S30" s="429" t="s">
        <v>223</v>
      </c>
      <c r="T30" s="429"/>
      <c r="U30" s="430" t="str">
        <f>Z14&amp;"[℃]における電圧降下係数"</f>
        <v>50[℃]における電圧降下係数</v>
      </c>
      <c r="V30" s="430"/>
      <c r="W30" s="430"/>
      <c r="X30" s="430"/>
      <c r="Y30" s="430"/>
      <c r="Z30" s="430"/>
      <c r="AA30" s="430"/>
      <c r="AB30" s="250"/>
      <c r="AC30" s="431">
        <f>IF(E11="","",17.8*SQRT(LEFT(E11,1))*(1+0.00393*(Z14-20)))</f>
        <v>34.465420840506219</v>
      </c>
      <c r="AD30" s="431"/>
      <c r="AE30" s="293"/>
      <c r="AF30" s="419">
        <f>IF(E25="","",(E25*(R35+R40)^2+O25*R35^2+W25*R40^2)/1000)</f>
        <v>1039.0364904837572</v>
      </c>
      <c r="AG30" s="420"/>
      <c r="AH30" s="403"/>
      <c r="AI30" s="438">
        <f>IF(AF30="","",AF30/(Z35+Z40)/10)</f>
        <v>2.2320869827792853</v>
      </c>
      <c r="AJ30" s="438"/>
      <c r="AK30" s="25"/>
      <c r="AN30" s="305"/>
      <c r="AO30" s="304">
        <v>900</v>
      </c>
      <c r="AP30" s="306" t="s">
        <v>205</v>
      </c>
    </row>
    <row r="31" spans="1:42" ht="18" customHeight="1" x14ac:dyDescent="0.35">
      <c r="A31" s="465"/>
      <c r="B31" s="17">
        <v>26</v>
      </c>
      <c r="C31" s="247"/>
      <c r="D31" s="413" t="s">
        <v>191</v>
      </c>
      <c r="E31" s="413"/>
      <c r="F31" s="437">
        <f>IF(E26="","",(R36+R41)*SQRT(E26^2+J26^2)/1000)</f>
        <v>4.4166881289638198</v>
      </c>
      <c r="G31" s="437"/>
      <c r="H31" s="437"/>
      <c r="I31" s="437"/>
      <c r="J31" s="409"/>
      <c r="K31" s="437">
        <f>IF(O26="","",R36*SQRT(O26^2+T26^2)/1000)</f>
        <v>1.6808669419545152</v>
      </c>
      <c r="L31" s="437"/>
      <c r="M31" s="408"/>
      <c r="N31" s="544">
        <f>IF(W26="","",R41*SQRT(W26^2+AB26^2)/1000)</f>
        <v>0.92362526409148471</v>
      </c>
      <c r="O31" s="545"/>
      <c r="P31" s="546"/>
      <c r="Q31" s="24"/>
      <c r="R31" s="288"/>
      <c r="S31" s="429" t="s">
        <v>224</v>
      </c>
      <c r="T31" s="429"/>
      <c r="U31" s="430" t="str">
        <f>AI14&amp;"[℃]における電圧降下係数"</f>
        <v>40[℃]における電圧降下係数</v>
      </c>
      <c r="V31" s="430"/>
      <c r="W31" s="430"/>
      <c r="X31" s="430"/>
      <c r="Y31" s="430"/>
      <c r="Z31" s="430"/>
      <c r="AA31" s="430"/>
      <c r="AB31" s="250"/>
      <c r="AC31" s="431">
        <f>IF(E11="","",17.8*SQRT(LEFT(E11,1))*(1+0.00393*(AI14-20)))</f>
        <v>33.253782018579479</v>
      </c>
      <c r="AD31" s="431"/>
      <c r="AE31" s="294"/>
      <c r="AF31" s="419">
        <f>IF(E26="","",(E26*(R36+R41)^2+O26*R36^2+W26*R41^2)/1000)</f>
        <v>1006.8087043277834</v>
      </c>
      <c r="AG31" s="420"/>
      <c r="AH31" s="403"/>
      <c r="AI31" s="439">
        <f>IF(AF31="","",AF31/(Z36+Z41)/10)</f>
        <v>2.5623178403778639</v>
      </c>
      <c r="AJ31" s="440"/>
      <c r="AK31" s="25"/>
      <c r="AO31" s="304">
        <v>1050</v>
      </c>
      <c r="AP31" s="306" t="s">
        <v>206</v>
      </c>
    </row>
    <row r="32" spans="1:42" ht="18" customHeight="1" x14ac:dyDescent="0.35">
      <c r="A32" s="465"/>
      <c r="B32" s="17">
        <v>27</v>
      </c>
      <c r="C32" s="247"/>
      <c r="D32" s="413" t="s">
        <v>318</v>
      </c>
      <c r="E32" s="413"/>
      <c r="F32" s="414">
        <f>IF(F30="","",ABS(100*(F30-F31)/F31))</f>
        <v>9.0452165877522912</v>
      </c>
      <c r="G32" s="414"/>
      <c r="H32" s="414"/>
      <c r="I32" s="414"/>
      <c r="J32" s="250"/>
      <c r="K32" s="415">
        <f>IF(K30="","",ABS(100*(K30-K31)/K31))</f>
        <v>2.8415596215828214</v>
      </c>
      <c r="L32" s="415"/>
      <c r="M32" s="250"/>
      <c r="N32" s="416">
        <f>IF(N30="","",ABS(100*(N30-N31)/N31))</f>
        <v>3.341779142159516</v>
      </c>
      <c r="O32" s="417"/>
      <c r="P32" s="418"/>
      <c r="Q32" s="250"/>
      <c r="R32" s="250"/>
      <c r="S32" s="250"/>
      <c r="T32" s="254"/>
      <c r="U32" s="254"/>
      <c r="V32" s="254"/>
      <c r="W32" s="254"/>
      <c r="X32" s="254"/>
      <c r="Y32" s="254"/>
      <c r="Z32" s="254"/>
      <c r="AA32" s="254"/>
      <c r="AB32" s="254"/>
      <c r="AC32" s="427" t="s">
        <v>318</v>
      </c>
      <c r="AD32" s="427"/>
      <c r="AE32" s="428"/>
      <c r="AF32" s="443">
        <f>IF(AF30="","",ABS(100*(AF30-AF31)/AF31))</f>
        <v>3.2009840615642449</v>
      </c>
      <c r="AG32" s="444"/>
      <c r="AH32" s="24"/>
      <c r="AI32" s="441">
        <f>IF(AI30="","",ABS(100*(AI30-AI31)/AI31))</f>
        <v>12.887974020813891</v>
      </c>
      <c r="AJ32" s="442"/>
      <c r="AK32" s="25"/>
      <c r="AO32" s="304"/>
      <c r="AP32" s="307"/>
    </row>
    <row r="33" spans="1:42" ht="18" customHeight="1" x14ac:dyDescent="0.2">
      <c r="A33" s="465"/>
      <c r="B33" s="17">
        <v>28</v>
      </c>
      <c r="C33" s="432" t="s">
        <v>322</v>
      </c>
      <c r="D33" s="433"/>
      <c r="E33" s="433"/>
      <c r="F33" s="434"/>
      <c r="G33" s="434"/>
      <c r="H33" s="434"/>
      <c r="I33" s="434"/>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4"/>
      <c r="AJ33" s="434"/>
      <c r="AK33" s="435"/>
      <c r="AO33" s="304"/>
      <c r="AP33" s="307"/>
    </row>
    <row r="34" spans="1:42" ht="18" customHeight="1" x14ac:dyDescent="0.35">
      <c r="A34" s="465"/>
      <c r="B34" s="17">
        <v>29</v>
      </c>
      <c r="C34" s="523" t="s">
        <v>215</v>
      </c>
      <c r="D34" s="524"/>
      <c r="E34" s="525" t="s">
        <v>207</v>
      </c>
      <c r="F34" s="525"/>
      <c r="G34" s="526" t="s">
        <v>209</v>
      </c>
      <c r="H34" s="526"/>
      <c r="I34" s="526"/>
      <c r="J34" s="526"/>
      <c r="K34" s="526"/>
      <c r="L34" s="24"/>
      <c r="M34" s="527" t="s">
        <v>171</v>
      </c>
      <c r="N34" s="527"/>
      <c r="O34" s="527"/>
      <c r="P34" s="527"/>
      <c r="Q34" s="229"/>
      <c r="R34" s="451" t="s">
        <v>210</v>
      </c>
      <c r="S34" s="451"/>
      <c r="T34" s="24"/>
      <c r="U34" s="515" t="s">
        <v>211</v>
      </c>
      <c r="V34" s="515"/>
      <c r="W34" s="41"/>
      <c r="X34" s="24"/>
      <c r="Y34" s="24"/>
      <c r="Z34" s="451" t="s">
        <v>212</v>
      </c>
      <c r="AA34" s="451"/>
      <c r="AB34" s="37"/>
      <c r="AC34" s="451" t="s">
        <v>213</v>
      </c>
      <c r="AD34" s="451"/>
      <c r="AE34" s="24"/>
      <c r="AF34" s="451" t="s">
        <v>214</v>
      </c>
      <c r="AG34" s="451"/>
      <c r="AH34" s="24"/>
      <c r="AI34" s="24"/>
      <c r="AJ34" s="24"/>
      <c r="AK34" s="25"/>
    </row>
    <row r="35" spans="1:42" ht="18" customHeight="1" x14ac:dyDescent="0.35">
      <c r="A35" s="465"/>
      <c r="B35" s="17">
        <v>30</v>
      </c>
      <c r="C35" s="486" t="s">
        <v>190</v>
      </c>
      <c r="D35" s="413"/>
      <c r="E35" s="516">
        <f>IF(U17="","",U17*X17*AI17/(Z17*AC17))</f>
        <v>41.404863933431962</v>
      </c>
      <c r="F35" s="517"/>
      <c r="G35" s="406"/>
      <c r="H35" s="518">
        <f>IF(E35="","",1)</f>
        <v>1</v>
      </c>
      <c r="I35" s="518"/>
      <c r="J35" s="518"/>
      <c r="K35" s="518"/>
      <c r="L35" s="238"/>
      <c r="M35" s="516">
        <f>IF(U17="","",U17*X17*AI17)</f>
        <v>28.05</v>
      </c>
      <c r="N35" s="519"/>
      <c r="O35" s="519"/>
      <c r="P35" s="517"/>
      <c r="Q35" s="404"/>
      <c r="R35" s="516">
        <f>IF(E35="","",1000*E35/K13/SQRT(LEFT(E11,1)))</f>
        <v>113.83385398917508</v>
      </c>
      <c r="S35" s="517"/>
      <c r="T35" s="238"/>
      <c r="U35" s="520">
        <f>IF(F30="","",IF(LEFT(E11,1)="1",(K13/2)-F30-K30,K13-F30-K30))</f>
        <v>204.3497067726671</v>
      </c>
      <c r="V35" s="521"/>
      <c r="W35" s="522"/>
      <c r="X35" s="238"/>
      <c r="Y35" s="238"/>
      <c r="Z35" s="516">
        <f>IF(U17="","",U17*X17*AI17)</f>
        <v>28.05</v>
      </c>
      <c r="AA35" s="517"/>
      <c r="AB35" s="238"/>
      <c r="AC35" s="503" t="str">
        <f>IF(Z35="","","計算不能")</f>
        <v>計算不能</v>
      </c>
      <c r="AD35" s="505"/>
      <c r="AE35" s="238"/>
      <c r="AF35" s="516">
        <f>IF(Z35="","",Z35*H35)</f>
        <v>28.05</v>
      </c>
      <c r="AG35" s="517"/>
      <c r="AH35" s="24"/>
      <c r="AI35" s="24"/>
      <c r="AJ35" s="24"/>
      <c r="AK35" s="25"/>
    </row>
    <row r="36" spans="1:42" ht="18" customHeight="1" x14ac:dyDescent="0.35">
      <c r="A36" s="465"/>
      <c r="B36" s="17">
        <v>31</v>
      </c>
      <c r="C36" s="486" t="s">
        <v>191</v>
      </c>
      <c r="D36" s="413"/>
      <c r="E36" s="516">
        <f>IF(E35="","",'VD4'!S18*'VD4'!T18)</f>
        <v>41.404863933431955</v>
      </c>
      <c r="F36" s="517"/>
      <c r="G36" s="407"/>
      <c r="H36" s="535">
        <f>'VD4'!W20</f>
        <v>0.75880000000000003</v>
      </c>
      <c r="I36" s="536"/>
      <c r="J36" s="536"/>
      <c r="K36" s="537"/>
      <c r="L36" s="239"/>
      <c r="M36" s="516">
        <f>IF(M35="","",'Load-List'!U11)</f>
        <v>28.102524228707889</v>
      </c>
      <c r="N36" s="519"/>
      <c r="O36" s="519"/>
      <c r="P36" s="517"/>
      <c r="Q36" s="405"/>
      <c r="R36" s="516">
        <f>'VD4'!AI18</f>
        <v>108.87511491842994</v>
      </c>
      <c r="S36" s="517"/>
      <c r="T36" s="239"/>
      <c r="U36" s="528">
        <f>'VD4'!AG18</f>
        <v>200.85214838675751</v>
      </c>
      <c r="V36" s="528"/>
      <c r="W36" s="528"/>
      <c r="X36" s="239"/>
      <c r="Y36" s="239"/>
      <c r="Z36" s="516">
        <f>IF(Z35="","",'Load-List'!Y11)</f>
        <v>23.887145594401705</v>
      </c>
      <c r="AA36" s="517"/>
      <c r="AB36" s="238"/>
      <c r="AC36" s="516">
        <f>IF(Z36="","",'Load-List'!Z11)</f>
        <v>20.503142701022217</v>
      </c>
      <c r="AD36" s="517"/>
      <c r="AE36" s="404"/>
      <c r="AF36" s="516">
        <f>IF(AF35="","",'Load-List'!AA11)</f>
        <v>31.479748812000157</v>
      </c>
      <c r="AG36" s="517"/>
      <c r="AH36" s="24"/>
      <c r="AI36" s="24"/>
      <c r="AJ36" s="24"/>
      <c r="AK36" s="25"/>
    </row>
    <row r="37" spans="1:42" ht="18" customHeight="1" x14ac:dyDescent="0.35">
      <c r="A37" s="465"/>
      <c r="B37" s="17">
        <v>32</v>
      </c>
      <c r="C37" s="486" t="s">
        <v>318</v>
      </c>
      <c r="D37" s="413"/>
      <c r="E37" s="443">
        <f>IF(E35="","",ABS(100*(E35-E36)/E36))</f>
        <v>1.7160851848286824E-14</v>
      </c>
      <c r="F37" s="444"/>
      <c r="G37" s="240"/>
      <c r="H37" s="443">
        <f>IF(H35="","",ABS(100*(H35-H36)/H36))</f>
        <v>31.787032156035842</v>
      </c>
      <c r="I37" s="529"/>
      <c r="J37" s="529"/>
      <c r="K37" s="444"/>
      <c r="L37" s="241"/>
      <c r="M37" s="414">
        <f>IF(M35="","",ABS(100*(M35-M36)/M36))</f>
        <v>0.18690217391302</v>
      </c>
      <c r="N37" s="414"/>
      <c r="O37" s="414"/>
      <c r="P37" s="414"/>
      <c r="Q37" s="242"/>
      <c r="R37" s="530">
        <f>IF(R35="","",ABS(100*(R35-R36)/R36))</f>
        <v>4.554520171538063</v>
      </c>
      <c r="S37" s="531"/>
      <c r="T37" s="241"/>
      <c r="U37" s="532">
        <f>IF(U35="","",ABS(100*(U35-U36)/U36))</f>
        <v>1.7413597086224637</v>
      </c>
      <c r="V37" s="532"/>
      <c r="W37" s="532"/>
      <c r="X37" s="241"/>
      <c r="Y37" s="241"/>
      <c r="Z37" s="533">
        <f>IF(Z35="","",ABS(100*(Z35-Z36)/Z36))</f>
        <v>17.427173913043507</v>
      </c>
      <c r="AA37" s="534"/>
      <c r="AB37" s="242"/>
      <c r="AC37" s="533">
        <f>IF(Z36="","",100)</f>
        <v>100</v>
      </c>
      <c r="AD37" s="534"/>
      <c r="AE37" s="241"/>
      <c r="AF37" s="533">
        <f>IF(AF35="","",ABS(100*(AF35-AF36)/AF36))</f>
        <v>10.895095867768575</v>
      </c>
      <c r="AG37" s="534"/>
      <c r="AH37" s="24"/>
      <c r="AI37" s="24"/>
      <c r="AJ37" s="24"/>
      <c r="AK37" s="25"/>
    </row>
    <row r="38" spans="1:42" ht="18" customHeight="1" x14ac:dyDescent="0.15">
      <c r="A38" s="465"/>
      <c r="B38" s="17">
        <v>33</v>
      </c>
      <c r="C38" s="36"/>
      <c r="D38" s="37"/>
      <c r="E38" s="24"/>
      <c r="F38" s="24"/>
      <c r="G38" s="24"/>
      <c r="H38" s="24"/>
      <c r="I38" s="24"/>
      <c r="J38" s="24"/>
      <c r="K38" s="24"/>
      <c r="L38" s="24"/>
      <c r="M38" s="24"/>
      <c r="N38" s="24"/>
      <c r="O38" s="24"/>
      <c r="P38" s="37"/>
      <c r="Q38" s="37"/>
      <c r="R38" s="37"/>
      <c r="S38" s="24"/>
      <c r="T38" s="24"/>
      <c r="U38" s="24"/>
      <c r="V38" s="24"/>
      <c r="W38" s="24"/>
      <c r="X38" s="24"/>
      <c r="Y38" s="24"/>
      <c r="Z38" s="24"/>
      <c r="AA38" s="37"/>
      <c r="AB38" s="37"/>
      <c r="AC38" s="37"/>
      <c r="AD38" s="24"/>
      <c r="AE38" s="24"/>
      <c r="AF38" s="24"/>
      <c r="AG38" s="24"/>
      <c r="AH38" s="24"/>
      <c r="AI38" s="24"/>
      <c r="AJ38" s="24"/>
      <c r="AK38" s="25"/>
    </row>
    <row r="39" spans="1:42" ht="18" customHeight="1" x14ac:dyDescent="0.35">
      <c r="A39" s="465"/>
      <c r="B39" s="17">
        <v>34</v>
      </c>
      <c r="C39" s="523" t="s">
        <v>216</v>
      </c>
      <c r="D39" s="524"/>
      <c r="E39" s="525" t="s">
        <v>207</v>
      </c>
      <c r="F39" s="525"/>
      <c r="G39" s="526" t="s">
        <v>209</v>
      </c>
      <c r="H39" s="526"/>
      <c r="I39" s="526"/>
      <c r="J39" s="526"/>
      <c r="K39" s="526"/>
      <c r="L39" s="24"/>
      <c r="M39" s="527" t="s">
        <v>171</v>
      </c>
      <c r="N39" s="527"/>
      <c r="O39" s="527"/>
      <c r="P39" s="527"/>
      <c r="Q39" s="229"/>
      <c r="R39" s="451" t="s">
        <v>210</v>
      </c>
      <c r="S39" s="451"/>
      <c r="T39" s="24"/>
      <c r="U39" s="515" t="s">
        <v>211</v>
      </c>
      <c r="V39" s="515"/>
      <c r="W39" s="41"/>
      <c r="X39" s="24"/>
      <c r="Y39" s="24"/>
      <c r="Z39" s="451" t="s">
        <v>212</v>
      </c>
      <c r="AA39" s="451"/>
      <c r="AB39" s="37"/>
      <c r="AC39" s="451" t="s">
        <v>213</v>
      </c>
      <c r="AD39" s="451"/>
      <c r="AE39" s="24"/>
      <c r="AF39" s="451" t="s">
        <v>214</v>
      </c>
      <c r="AG39" s="451"/>
      <c r="AH39" s="244"/>
      <c r="AI39" s="244"/>
      <c r="AJ39" s="244"/>
      <c r="AK39" s="245"/>
    </row>
    <row r="40" spans="1:42" ht="18" customHeight="1" x14ac:dyDescent="0.35">
      <c r="A40" s="465"/>
      <c r="B40" s="17">
        <v>35</v>
      </c>
      <c r="C40" s="486" t="s">
        <v>190</v>
      </c>
      <c r="D40" s="413"/>
      <c r="E40" s="516">
        <f>IF(U18="","",U18*X18*AI18/(Z18*AC18))</f>
        <v>29.324096845159911</v>
      </c>
      <c r="F40" s="517"/>
      <c r="G40" s="406"/>
      <c r="H40" s="518">
        <f>IF(E40="","",1)</f>
        <v>1</v>
      </c>
      <c r="I40" s="518"/>
      <c r="J40" s="518"/>
      <c r="K40" s="518"/>
      <c r="L40" s="238"/>
      <c r="M40" s="516">
        <f>IF(U18="","",U18*X18*AI18)</f>
        <v>18.5</v>
      </c>
      <c r="N40" s="519"/>
      <c r="O40" s="519"/>
      <c r="P40" s="517"/>
      <c r="Q40" s="404"/>
      <c r="R40" s="516">
        <f>IF(E40="","",1000*E40/K13/SQRT(LEFT(E11,1)))</f>
        <v>80.620358129979678</v>
      </c>
      <c r="S40" s="517"/>
      <c r="T40" s="238"/>
      <c r="U40" s="520">
        <f>IF(E11="","",IF(LEFT(E11,1)="1",(K13/2)-F30-N30,K13-F30-N30))</f>
        <v>205.09005113064214</v>
      </c>
      <c r="V40" s="521"/>
      <c r="W40" s="522"/>
      <c r="X40" s="238"/>
      <c r="Y40" s="238"/>
      <c r="Z40" s="516">
        <f>IF(U18="","",U18*X18*AI18)</f>
        <v>18.5</v>
      </c>
      <c r="AA40" s="517"/>
      <c r="AB40" s="238"/>
      <c r="AC40" s="503" t="str">
        <f>IF(Z40="","","計算不能")</f>
        <v>計算不能</v>
      </c>
      <c r="AD40" s="505"/>
      <c r="AE40" s="238"/>
      <c r="AF40" s="516">
        <f>IF(Z40="","",Z40*H40)</f>
        <v>18.5</v>
      </c>
      <c r="AG40" s="517"/>
      <c r="AH40" s="24"/>
      <c r="AI40" s="24"/>
      <c r="AJ40" s="24"/>
      <c r="AK40" s="25"/>
    </row>
    <row r="41" spans="1:42" ht="18" customHeight="1" x14ac:dyDescent="0.35">
      <c r="A41" s="465"/>
      <c r="B41" s="17">
        <v>36</v>
      </c>
      <c r="C41" s="486" t="s">
        <v>191</v>
      </c>
      <c r="D41" s="413"/>
      <c r="E41" s="516">
        <f>IF(E40="","",'VD4'!S22*'VD4'!T22)</f>
        <v>29.324096845159911</v>
      </c>
      <c r="F41" s="517"/>
      <c r="G41" s="407"/>
      <c r="H41" s="535">
        <f>'VD4'!W24</f>
        <v>0.72489999999999999</v>
      </c>
      <c r="I41" s="536"/>
      <c r="J41" s="536"/>
      <c r="K41" s="537"/>
      <c r="L41" s="239"/>
      <c r="M41" s="516">
        <f>IF(M40="","",'Load-List'!U18)</f>
        <v>15.405743385339772</v>
      </c>
      <c r="N41" s="519"/>
      <c r="O41" s="519"/>
      <c r="P41" s="517"/>
      <c r="Q41" s="405"/>
      <c r="R41" s="516">
        <f>'VD4'!AI22</f>
        <v>77.372672021147778</v>
      </c>
      <c r="S41" s="517"/>
      <c r="T41" s="239"/>
      <c r="U41" s="528">
        <f>'VD4'!AG22</f>
        <v>201.5404235521365</v>
      </c>
      <c r="V41" s="528"/>
      <c r="W41" s="528"/>
      <c r="X41" s="239"/>
      <c r="Y41" s="239"/>
      <c r="Z41" s="516">
        <f>IF(Z40="","",'Load-List'!Y18)</f>
        <v>15.405743385339772</v>
      </c>
      <c r="AA41" s="517"/>
      <c r="AB41" s="238"/>
      <c r="AC41" s="516">
        <f>IF(Z41="","",'Load-List'!Z18)</f>
        <v>14.639196354439324</v>
      </c>
      <c r="AD41" s="517"/>
      <c r="AE41" s="404"/>
      <c r="AF41" s="516">
        <f>IF(Z41="","",'Load-List'!AA18)</f>
        <v>21.251894013446655</v>
      </c>
      <c r="AG41" s="517"/>
      <c r="AH41" s="24"/>
      <c r="AI41" s="24"/>
      <c r="AJ41" s="24"/>
      <c r="AK41" s="25"/>
    </row>
    <row r="42" spans="1:42" ht="18" customHeight="1" x14ac:dyDescent="0.35">
      <c r="A42" s="465"/>
      <c r="B42" s="17">
        <v>37</v>
      </c>
      <c r="C42" s="486" t="s">
        <v>318</v>
      </c>
      <c r="D42" s="413"/>
      <c r="E42" s="414">
        <f>IF(E40="","",ABS(100*(E40-E41)/E41))</f>
        <v>0</v>
      </c>
      <c r="F42" s="414"/>
      <c r="G42" s="24"/>
      <c r="H42" s="414">
        <f>IF(H40="","",ABS(100*(H40-H41)/H41))</f>
        <v>37.950062077527939</v>
      </c>
      <c r="I42" s="414"/>
      <c r="J42" s="414"/>
      <c r="K42" s="414"/>
      <c r="L42" s="24"/>
      <c r="M42" s="414">
        <f>IF(M40="","",ABS(100*(M40-M41)/M41))</f>
        <v>20.085084745762721</v>
      </c>
      <c r="N42" s="414"/>
      <c r="O42" s="414"/>
      <c r="P42" s="414"/>
      <c r="Q42" s="37"/>
      <c r="R42" s="530">
        <f>IF(R40="","",ABS(100*(R40-R41)/R41))</f>
        <v>4.1974589011792567</v>
      </c>
      <c r="S42" s="531"/>
      <c r="T42" s="24"/>
      <c r="U42" s="532">
        <f>IF(U40="","",ABS(100*(U40-U41)/U41))</f>
        <v>1.7612484463134921</v>
      </c>
      <c r="V42" s="532"/>
      <c r="W42" s="532"/>
      <c r="X42" s="24"/>
      <c r="Y42" s="24"/>
      <c r="Z42" s="533">
        <f>IF(Z40="","",ABS(100*(Z40-Z41)/Z41))</f>
        <v>20.085084745762721</v>
      </c>
      <c r="AA42" s="534"/>
      <c r="AB42" s="38"/>
      <c r="AC42" s="533">
        <f>IF(Z41="","",100)</f>
        <v>100</v>
      </c>
      <c r="AD42" s="534"/>
      <c r="AE42" s="26"/>
      <c r="AF42" s="533">
        <f>IF(AF40="","",ABS(100*(AF40-AF41)/AF41))</f>
        <v>12.948935335859744</v>
      </c>
      <c r="AG42" s="534"/>
      <c r="AH42" s="24"/>
      <c r="AI42" s="24"/>
      <c r="AJ42" s="24"/>
      <c r="AK42" s="25"/>
    </row>
    <row r="43" spans="1:42" ht="18" customHeight="1" x14ac:dyDescent="0.15">
      <c r="A43" s="465"/>
      <c r="B43" s="17">
        <v>38</v>
      </c>
      <c r="C43" s="432" t="s">
        <v>322</v>
      </c>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5"/>
    </row>
    <row r="44" spans="1:42" ht="18" customHeight="1" x14ac:dyDescent="0.15">
      <c r="A44" s="465"/>
      <c r="B44" s="17">
        <v>39</v>
      </c>
      <c r="C44" s="36"/>
      <c r="D44" s="37"/>
      <c r="E44" s="24"/>
      <c r="F44" s="24"/>
      <c r="G44" s="24"/>
      <c r="H44" s="24"/>
      <c r="I44" s="24"/>
      <c r="J44" s="24"/>
      <c r="K44" s="24"/>
      <c r="L44" s="24"/>
      <c r="M44" s="24"/>
      <c r="N44" s="24"/>
      <c r="O44" s="24"/>
      <c r="P44" s="37"/>
      <c r="Q44" s="37"/>
      <c r="R44" s="37"/>
      <c r="S44" s="24"/>
      <c r="T44" s="24"/>
      <c r="U44" s="24"/>
      <c r="V44" s="24"/>
      <c r="W44" s="24"/>
      <c r="X44" s="24"/>
      <c r="Y44" s="24"/>
      <c r="Z44" s="24"/>
      <c r="AA44" s="37"/>
      <c r="AB44" s="37"/>
      <c r="AC44" s="37"/>
      <c r="AD44" s="24"/>
      <c r="AE44" s="24"/>
      <c r="AF44" s="24"/>
      <c r="AG44" s="24"/>
      <c r="AH44" s="24"/>
      <c r="AI44" s="24"/>
      <c r="AJ44" s="24"/>
      <c r="AK44" s="25"/>
    </row>
    <row r="45" spans="1:42" ht="18" customHeight="1" x14ac:dyDescent="0.35">
      <c r="A45" s="465"/>
      <c r="B45" s="17">
        <v>40</v>
      </c>
      <c r="C45" s="292" t="s">
        <v>217</v>
      </c>
      <c r="D45" s="289"/>
      <c r="E45" s="290"/>
      <c r="F45" s="290"/>
      <c r="G45" s="290"/>
      <c r="H45" s="290"/>
      <c r="I45" s="290"/>
      <c r="J45" s="290"/>
      <c r="K45" s="290"/>
      <c r="L45" s="290"/>
      <c r="M45" s="290"/>
      <c r="N45" s="290"/>
      <c r="O45" s="290"/>
      <c r="P45" s="289"/>
      <c r="Q45" s="289"/>
      <c r="R45" s="289"/>
      <c r="S45" s="290"/>
      <c r="T45" s="290"/>
      <c r="U45" s="290"/>
      <c r="V45" s="290"/>
      <c r="W45" s="290"/>
      <c r="X45" s="290"/>
      <c r="Y45" s="290"/>
      <c r="Z45" s="290"/>
      <c r="AA45" s="289"/>
      <c r="AB45" s="289"/>
      <c r="AC45" s="289"/>
      <c r="AD45" s="290"/>
      <c r="AE45" s="290"/>
      <c r="AF45" s="290"/>
      <c r="AG45" s="290"/>
      <c r="AH45" s="290"/>
      <c r="AI45" s="290"/>
      <c r="AJ45" s="290"/>
      <c r="AK45" s="291"/>
    </row>
    <row r="46" spans="1:42" ht="18" customHeight="1" x14ac:dyDescent="0.35">
      <c r="A46" s="465"/>
      <c r="B46" s="17">
        <v>41</v>
      </c>
      <c r="C46" s="292"/>
      <c r="D46" s="411" t="s">
        <v>325</v>
      </c>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1"/>
      <c r="AJ46" s="411"/>
      <c r="AK46" s="412"/>
    </row>
    <row r="47" spans="1:42" ht="18" customHeight="1" x14ac:dyDescent="0.35">
      <c r="A47" s="465"/>
      <c r="B47" s="17">
        <v>42</v>
      </c>
      <c r="C47" s="292"/>
      <c r="D47" s="411" t="s">
        <v>326</v>
      </c>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2"/>
    </row>
    <row r="48" spans="1:42" ht="18" customHeight="1" x14ac:dyDescent="0.15">
      <c r="A48" s="465"/>
      <c r="B48" s="17">
        <v>43</v>
      </c>
      <c r="C48" s="39"/>
      <c r="D48" s="40"/>
      <c r="E48" s="20"/>
      <c r="F48" s="20"/>
      <c r="G48" s="20"/>
      <c r="H48" s="20"/>
      <c r="I48" s="20"/>
      <c r="J48" s="20"/>
      <c r="K48" s="20"/>
      <c r="L48" s="20"/>
      <c r="M48" s="20"/>
      <c r="N48" s="20"/>
      <c r="O48" s="20"/>
      <c r="P48" s="40"/>
      <c r="Q48" s="40"/>
      <c r="R48" s="40"/>
      <c r="S48" s="20"/>
      <c r="T48" s="20"/>
      <c r="U48" s="20"/>
      <c r="V48" s="20"/>
      <c r="W48" s="20"/>
      <c r="X48" s="20"/>
      <c r="Y48" s="20"/>
      <c r="Z48" s="20"/>
      <c r="AA48" s="40"/>
      <c r="AB48" s="40"/>
      <c r="AC48" s="40"/>
      <c r="AD48" s="20"/>
      <c r="AE48" s="20"/>
      <c r="AF48" s="20"/>
      <c r="AG48" s="20"/>
      <c r="AH48" s="20"/>
      <c r="AI48" s="20"/>
      <c r="AJ48" s="20"/>
      <c r="AK48" s="21"/>
    </row>
    <row r="49" spans="1:37" ht="17.25" customHeight="1" x14ac:dyDescent="0.35">
      <c r="A49" s="465"/>
      <c r="B49" s="17">
        <v>44</v>
      </c>
      <c r="C49" s="33"/>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5"/>
    </row>
    <row r="50" spans="1:37" ht="3" customHeight="1" x14ac:dyDescent="0.15">
      <c r="A50" s="465"/>
    </row>
  </sheetData>
  <sheetProtection password="B220" sheet="1" objects="1" scenarios="1"/>
  <mergeCells count="223">
    <mergeCell ref="C41:D41"/>
    <mergeCell ref="C11:D11"/>
    <mergeCell ref="E11:F11"/>
    <mergeCell ref="AG2:AK2"/>
    <mergeCell ref="AG1:AK1"/>
    <mergeCell ref="K30:L30"/>
    <mergeCell ref="N30:P30"/>
    <mergeCell ref="K31:L31"/>
    <mergeCell ref="N31:P31"/>
    <mergeCell ref="K29:L29"/>
    <mergeCell ref="N12:P12"/>
    <mergeCell ref="G12:J12"/>
    <mergeCell ref="N13:P13"/>
    <mergeCell ref="R13:T13"/>
    <mergeCell ref="R12:T12"/>
    <mergeCell ref="H14:I15"/>
    <mergeCell ref="K16:L16"/>
    <mergeCell ref="K17:L17"/>
    <mergeCell ref="K18:L18"/>
    <mergeCell ref="K14:L15"/>
    <mergeCell ref="N14:N15"/>
    <mergeCell ref="E39:F39"/>
    <mergeCell ref="G39:K39"/>
    <mergeCell ref="M39:P39"/>
    <mergeCell ref="C43:AK43"/>
    <mergeCell ref="U42:W42"/>
    <mergeCell ref="Z42:AA42"/>
    <mergeCell ref="AC42:AD42"/>
    <mergeCell ref="AF42:AG42"/>
    <mergeCell ref="C27:D27"/>
    <mergeCell ref="E27:G27"/>
    <mergeCell ref="J27:L27"/>
    <mergeCell ref="O27:R27"/>
    <mergeCell ref="T27:U27"/>
    <mergeCell ref="W27:Z27"/>
    <mergeCell ref="AB27:AD27"/>
    <mergeCell ref="C29:E29"/>
    <mergeCell ref="D30:E30"/>
    <mergeCell ref="D31:E31"/>
    <mergeCell ref="C42:D42"/>
    <mergeCell ref="E42:F42"/>
    <mergeCell ref="H42:K42"/>
    <mergeCell ref="M42:P42"/>
    <mergeCell ref="R42:S42"/>
    <mergeCell ref="U40:W40"/>
    <mergeCell ref="Z40:AA40"/>
    <mergeCell ref="AC40:AD40"/>
    <mergeCell ref="AF40:AG40"/>
    <mergeCell ref="R39:S39"/>
    <mergeCell ref="U39:V39"/>
    <mergeCell ref="Z39:AA39"/>
    <mergeCell ref="AC39:AD39"/>
    <mergeCell ref="AF39:AG39"/>
    <mergeCell ref="E41:F41"/>
    <mergeCell ref="H41:K41"/>
    <mergeCell ref="M41:P41"/>
    <mergeCell ref="R41:S41"/>
    <mergeCell ref="U41:W41"/>
    <mergeCell ref="Z41:AA41"/>
    <mergeCell ref="AC41:AD41"/>
    <mergeCell ref="AF41:AG41"/>
    <mergeCell ref="C40:D40"/>
    <mergeCell ref="E40:F40"/>
    <mergeCell ref="H40:K40"/>
    <mergeCell ref="M40:P40"/>
    <mergeCell ref="R40:S40"/>
    <mergeCell ref="U36:W36"/>
    <mergeCell ref="Z36:AA36"/>
    <mergeCell ref="AC36:AD36"/>
    <mergeCell ref="AF36:AG36"/>
    <mergeCell ref="C37:D37"/>
    <mergeCell ref="E37:F37"/>
    <mergeCell ref="H37:K37"/>
    <mergeCell ref="M37:P37"/>
    <mergeCell ref="R37:S37"/>
    <mergeCell ref="U37:W37"/>
    <mergeCell ref="Z37:AA37"/>
    <mergeCell ref="AC37:AD37"/>
    <mergeCell ref="AF37:AG37"/>
    <mergeCell ref="C36:D36"/>
    <mergeCell ref="E36:F36"/>
    <mergeCell ref="H36:K36"/>
    <mergeCell ref="M36:P36"/>
    <mergeCell ref="R36:S36"/>
    <mergeCell ref="C39:D39"/>
    <mergeCell ref="U34:V34"/>
    <mergeCell ref="Z34:AA34"/>
    <mergeCell ref="AC34:AD34"/>
    <mergeCell ref="AF34:AG34"/>
    <mergeCell ref="C35:D35"/>
    <mergeCell ref="E35:F35"/>
    <mergeCell ref="H35:K35"/>
    <mergeCell ref="M35:P35"/>
    <mergeCell ref="R35:S35"/>
    <mergeCell ref="U35:W35"/>
    <mergeCell ref="Z35:AA35"/>
    <mergeCell ref="AC35:AD35"/>
    <mergeCell ref="AF35:AG35"/>
    <mergeCell ref="C34:D34"/>
    <mergeCell ref="E34:F34"/>
    <mergeCell ref="G34:K34"/>
    <mergeCell ref="M34:P34"/>
    <mergeCell ref="R34:S34"/>
    <mergeCell ref="C20:I20"/>
    <mergeCell ref="K20:R20"/>
    <mergeCell ref="K21:R21"/>
    <mergeCell ref="W24:AD24"/>
    <mergeCell ref="N29:P29"/>
    <mergeCell ref="W25:Z25"/>
    <mergeCell ref="W26:Z26"/>
    <mergeCell ref="AB25:AD25"/>
    <mergeCell ref="AB26:AD26"/>
    <mergeCell ref="O25:R25"/>
    <mergeCell ref="O26:R26"/>
    <mergeCell ref="T25:U25"/>
    <mergeCell ref="T26:U26"/>
    <mergeCell ref="O24:U24"/>
    <mergeCell ref="C22:K22"/>
    <mergeCell ref="C25:D25"/>
    <mergeCell ref="C26:D26"/>
    <mergeCell ref="H26:I26"/>
    <mergeCell ref="E26:G26"/>
    <mergeCell ref="E25:G25"/>
    <mergeCell ref="H25:I25"/>
    <mergeCell ref="J26:L26"/>
    <mergeCell ref="J25:L25"/>
    <mergeCell ref="E24:L24"/>
    <mergeCell ref="S21:AK21"/>
    <mergeCell ref="AI9:AK9"/>
    <mergeCell ref="AF8:AG8"/>
    <mergeCell ref="AI8:AK8"/>
    <mergeCell ref="AF10:AG10"/>
    <mergeCell ref="AI10:AK10"/>
    <mergeCell ref="D5:AF5"/>
    <mergeCell ref="AC17:AD17"/>
    <mergeCell ref="AF17:AG17"/>
    <mergeCell ref="C13:D13"/>
    <mergeCell ref="E13:F13"/>
    <mergeCell ref="E12:F12"/>
    <mergeCell ref="H13:I13"/>
    <mergeCell ref="K12:L12"/>
    <mergeCell ref="AF7:AG7"/>
    <mergeCell ref="AI13:AJ13"/>
    <mergeCell ref="AI14:AJ14"/>
    <mergeCell ref="Z14:AA14"/>
    <mergeCell ref="AD13:AF13"/>
    <mergeCell ref="AD14:AF14"/>
    <mergeCell ref="P14:R15"/>
    <mergeCell ref="Z17:AA17"/>
    <mergeCell ref="P17:R17"/>
    <mergeCell ref="P18:R18"/>
    <mergeCell ref="A1:A50"/>
    <mergeCell ref="D9:K9"/>
    <mergeCell ref="K13:L13"/>
    <mergeCell ref="H16:I16"/>
    <mergeCell ref="H17:I17"/>
    <mergeCell ref="H18:I18"/>
    <mergeCell ref="S17:T17"/>
    <mergeCell ref="B14:B15"/>
    <mergeCell ref="C16:D16"/>
    <mergeCell ref="E16:F16"/>
    <mergeCell ref="C17:D17"/>
    <mergeCell ref="C18:D18"/>
    <mergeCell ref="E17:F17"/>
    <mergeCell ref="E18:F18"/>
    <mergeCell ref="K7:R7"/>
    <mergeCell ref="T7:AA7"/>
    <mergeCell ref="L8:P8"/>
    <mergeCell ref="U8:Z8"/>
    <mergeCell ref="U10:Z10"/>
    <mergeCell ref="T9:AA9"/>
    <mergeCell ref="V14:Y15"/>
    <mergeCell ref="Z16:AA16"/>
    <mergeCell ref="Z13:AA13"/>
    <mergeCell ref="S20:AK20"/>
    <mergeCell ref="Z18:AA18"/>
    <mergeCell ref="S18:T18"/>
    <mergeCell ref="U17:V17"/>
    <mergeCell ref="U18:V18"/>
    <mergeCell ref="AC18:AD18"/>
    <mergeCell ref="AF18:AG18"/>
    <mergeCell ref="AI17:AJ17"/>
    <mergeCell ref="AI18:AJ18"/>
    <mergeCell ref="K11:L11"/>
    <mergeCell ref="N11:P11"/>
    <mergeCell ref="D10:I10"/>
    <mergeCell ref="K10:L10"/>
    <mergeCell ref="N10:P10"/>
    <mergeCell ref="AF9:AG9"/>
    <mergeCell ref="AI7:AK7"/>
    <mergeCell ref="U16:V16"/>
    <mergeCell ref="AC16:AD16"/>
    <mergeCell ref="AF16:AG16"/>
    <mergeCell ref="AI16:AJ16"/>
    <mergeCell ref="P16:R16"/>
    <mergeCell ref="AC11:AF11"/>
    <mergeCell ref="W11:AA11"/>
    <mergeCell ref="R11:S11"/>
    <mergeCell ref="R10:S10"/>
    <mergeCell ref="D47:AK47"/>
    <mergeCell ref="D32:E32"/>
    <mergeCell ref="F32:I32"/>
    <mergeCell ref="K32:L32"/>
    <mergeCell ref="N32:P32"/>
    <mergeCell ref="AF30:AG30"/>
    <mergeCell ref="AF31:AG31"/>
    <mergeCell ref="AF28:AJ29"/>
    <mergeCell ref="AC32:AE32"/>
    <mergeCell ref="D46:AK46"/>
    <mergeCell ref="S31:T31"/>
    <mergeCell ref="U30:AA30"/>
    <mergeCell ref="U31:AA31"/>
    <mergeCell ref="AC30:AD30"/>
    <mergeCell ref="AC31:AD31"/>
    <mergeCell ref="C33:AK33"/>
    <mergeCell ref="F29:I29"/>
    <mergeCell ref="F30:I30"/>
    <mergeCell ref="F31:I31"/>
    <mergeCell ref="AI30:AJ30"/>
    <mergeCell ref="AI31:AJ31"/>
    <mergeCell ref="AI32:AJ32"/>
    <mergeCell ref="AF32:AG32"/>
    <mergeCell ref="S30:T30"/>
  </mergeCells>
  <phoneticPr fontId="3"/>
  <dataValidations count="10">
    <dataValidation type="list" errorStyle="information" allowBlank="1" showInputMessage="1" showErrorMessage="1" sqref="N13:P13">
      <formula1>"50,60"</formula1>
    </dataValidation>
    <dataValidation type="decimal" errorStyle="information" allowBlank="1" showInputMessage="1" showErrorMessage="1" errorTitle="力率 cosφ の入力" error="&quot;０&quot; から &quot;1&quot; の間の数値を入力して下さい !!_x000a_" sqref="AF17:AG18">
      <formula1>0</formula1>
      <formula2>1</formula2>
    </dataValidation>
    <dataValidation type="list" allowBlank="1" showInputMessage="1" showErrorMessage="1" sqref="R13:T13">
      <formula1>"油入自冷,モールド絶縁"</formula1>
    </dataValidation>
    <dataValidation type="decimal" allowBlank="1" showInputMessage="1" showErrorMessage="1" errorTitle="需要率 入力" error="&quot;0&quot; から &quot;1&quot; の間の数値を入力して下さい !!" sqref="AI17:AJ18">
      <formula1>0</formula1>
      <formula2>1</formula2>
    </dataValidation>
    <dataValidation type="list" allowBlank="1" showInputMessage="1" showErrorMessage="1" sqref="P16:R18">
      <formula1>$AM$17:$AM$23</formula1>
    </dataValidation>
    <dataValidation type="list" allowBlank="1" showInputMessage="1" showErrorMessage="1" sqref="E16:F18">
      <formula1>$AM$5:$AM$10</formula1>
    </dataValidation>
    <dataValidation type="list" errorStyle="information" allowBlank="1" showInputMessage="1" showErrorMessage="1" sqref="U17:V18">
      <formula1>$AN$17:$AN$29</formula1>
    </dataValidation>
    <dataValidation type="list" allowBlank="1" showInputMessage="1" showErrorMessage="1" sqref="H16:I18">
      <formula1>$AO$17:$AO$32</formula1>
    </dataValidation>
    <dataValidation type="list" allowBlank="1" showInputMessage="1" showErrorMessage="1" sqref="E11:F11">
      <formula1>"1φ3W,3φ3W"</formula1>
    </dataValidation>
    <dataValidation type="decimal" errorStyle="information" allowBlank="1" showInputMessage="1" showErrorMessage="1" errorTitle="力率 cosφ の入力" error="&quot;０&quot; から &quot;1&quot; の間の数値を入力して下さい !!_x000a_" sqref="AC17:AD18 Z17:AA18">
      <formula1>0</formula1>
      <formula2>1</formula2>
    </dataValidation>
  </dataValidations>
  <pageMargins left="0.59055118110236227" right="0.39370078740157483"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8"/>
  <sheetViews>
    <sheetView view="pageBreakPreview" zoomScale="85" zoomScaleNormal="85" zoomScaleSheetLayoutView="85" workbookViewId="0"/>
  </sheetViews>
  <sheetFormatPr defaultRowHeight="13.5" x14ac:dyDescent="0.15"/>
  <cols>
    <col min="1" max="1" width="3.625" style="64" customWidth="1"/>
    <col min="2" max="2" width="12.5" style="64" customWidth="1"/>
    <col min="3" max="3" width="2.625" style="64" customWidth="1"/>
    <col min="4" max="4" width="8.625" style="64" customWidth="1"/>
    <col min="5" max="5" width="20.625" style="64" customWidth="1"/>
    <col min="6" max="9" width="1.5" style="64" customWidth="1"/>
    <col min="10" max="10" width="4.125" style="64" customWidth="1"/>
    <col min="11" max="11" width="1.5" style="64" customWidth="1"/>
    <col min="12" max="13" width="7.625" style="64" customWidth="1"/>
    <col min="14" max="14" width="6.625" style="64" customWidth="1"/>
    <col min="15" max="15" width="9.625" style="64" customWidth="1"/>
    <col min="16" max="19" width="6.125" style="64" customWidth="1"/>
    <col min="20" max="20" width="5.625" style="64" customWidth="1"/>
    <col min="21" max="24" width="7.125" style="64" customWidth="1"/>
    <col min="25" max="25" width="2.625" style="64" customWidth="1"/>
    <col min="26" max="26" width="9.125" style="64" customWidth="1"/>
    <col min="27" max="27" width="8.125" style="64" customWidth="1"/>
    <col min="28" max="28" width="7.125" style="64" customWidth="1"/>
    <col min="29" max="29" width="2.625" style="64" customWidth="1"/>
    <col min="30" max="30" width="9.125" style="64" customWidth="1"/>
    <col min="31" max="31" width="8.125" style="64" customWidth="1"/>
    <col min="32" max="32" width="11.625" style="64" customWidth="1"/>
    <col min="33" max="33" width="9.625" style="64" customWidth="1"/>
    <col min="34" max="34" width="3.625" style="64" customWidth="1"/>
    <col min="35" max="35" width="11.625" style="64" customWidth="1"/>
    <col min="36" max="37" width="5.625" style="64" customWidth="1"/>
    <col min="38" max="38" width="23.625" style="64" customWidth="1"/>
    <col min="39" max="50" width="8.625" style="309" customWidth="1"/>
    <col min="51" max="56" width="8.625" style="64" customWidth="1"/>
    <col min="57" max="95" width="6.625" style="64" customWidth="1"/>
    <col min="96" max="16384" width="9" style="64"/>
  </cols>
  <sheetData>
    <row r="1" spans="2:56" x14ac:dyDescent="0.15">
      <c r="T1" s="65"/>
    </row>
    <row r="2" spans="2:56" ht="13.5" customHeight="1" x14ac:dyDescent="0.15">
      <c r="T2" s="310"/>
      <c r="AC2" s="65"/>
    </row>
    <row r="3" spans="2:56" ht="13.5" customHeight="1" x14ac:dyDescent="0.15">
      <c r="D3" s="66"/>
      <c r="L3" s="66" t="s">
        <v>335</v>
      </c>
      <c r="AC3" s="65"/>
    </row>
    <row r="4" spans="2:56" x14ac:dyDescent="0.15">
      <c r="T4" s="310"/>
      <c r="W4" s="311"/>
      <c r="X4" s="64" t="s">
        <v>244</v>
      </c>
      <c r="AB4" s="312"/>
      <c r="AC4" s="67"/>
      <c r="AD4" s="67"/>
      <c r="AE4" s="67"/>
      <c r="AG4" s="313"/>
      <c r="AL4" s="410">
        <f>VALUE(BA18)</f>
        <v>3</v>
      </c>
      <c r="AN4" s="314">
        <v>1.41</v>
      </c>
      <c r="AO4" s="314">
        <v>0</v>
      </c>
      <c r="AP4" s="314">
        <v>0</v>
      </c>
      <c r="AQ4" s="314">
        <v>2</v>
      </c>
      <c r="AR4" s="314">
        <v>0.24</v>
      </c>
      <c r="AS4" s="314">
        <v>1.744421628025995</v>
      </c>
      <c r="AT4" s="314">
        <v>1.7606628012673093</v>
      </c>
      <c r="AU4" s="314" t="s">
        <v>316</v>
      </c>
      <c r="AV4" s="314" t="s">
        <v>316</v>
      </c>
      <c r="AW4" s="314">
        <v>1.7606628012673093</v>
      </c>
      <c r="AX4" s="314">
        <v>106.39109316320328</v>
      </c>
      <c r="AY4" s="314">
        <v>4.3451499999999999E-3</v>
      </c>
    </row>
    <row r="5" spans="2:56" ht="13.5" customHeight="1" x14ac:dyDescent="0.15">
      <c r="T5" s="310"/>
      <c r="V5" s="315"/>
      <c r="X5" s="64" t="s">
        <v>245</v>
      </c>
      <c r="Z5" s="64" t="s">
        <v>245</v>
      </c>
      <c r="AB5" s="259"/>
      <c r="AC5" s="69"/>
      <c r="AD5" s="68"/>
      <c r="AE5" s="69"/>
      <c r="AF5" s="316"/>
      <c r="AI5" s="65"/>
      <c r="AK5" s="65"/>
      <c r="AN5" s="314">
        <v>2.36</v>
      </c>
      <c r="AO5" s="314">
        <v>0</v>
      </c>
      <c r="AP5" s="314">
        <v>0</v>
      </c>
      <c r="AQ5" s="314">
        <v>2</v>
      </c>
      <c r="AR5" s="314">
        <v>8.8300000000000003E-2</v>
      </c>
      <c r="AS5" s="314">
        <v>1.6236938767128912</v>
      </c>
      <c r="AT5" s="314">
        <v>1.6307578767128912</v>
      </c>
      <c r="AU5" s="314" t="s">
        <v>316</v>
      </c>
      <c r="AV5" s="317" t="s">
        <v>316</v>
      </c>
      <c r="AW5" s="314">
        <v>1.6307578767128912</v>
      </c>
      <c r="AX5" s="314"/>
      <c r="AY5" s="314">
        <v>7.2727333333333323E-3</v>
      </c>
    </row>
    <row r="6" spans="2:56" ht="13.5" customHeight="1" x14ac:dyDescent="0.15">
      <c r="M6" s="318"/>
      <c r="N6" s="559" t="s">
        <v>225</v>
      </c>
      <c r="O6" s="560"/>
      <c r="T6" s="319"/>
      <c r="X6" s="64" t="s">
        <v>245</v>
      </c>
      <c r="Z6" s="64" t="s">
        <v>245</v>
      </c>
      <c r="AD6" s="70"/>
      <c r="AE6" s="70"/>
      <c r="AF6" s="316"/>
      <c r="AG6" s="313"/>
      <c r="AN6" s="314" t="b">
        <v>0</v>
      </c>
      <c r="AO6" s="314">
        <v>4.3451499999999999E-3</v>
      </c>
      <c r="AP6" s="314">
        <v>1.7309888243243245</v>
      </c>
      <c r="AQ6" s="314">
        <v>1.7309888243243245</v>
      </c>
      <c r="AR6" s="314">
        <v>0.39700000000000002</v>
      </c>
      <c r="AS6" s="314">
        <v>1.744421628025995</v>
      </c>
      <c r="AT6" s="314">
        <v>1.7606628012673093</v>
      </c>
      <c r="AU6" s="320" t="s">
        <v>316</v>
      </c>
      <c r="AV6" s="320">
        <v>0</v>
      </c>
      <c r="AW6" s="314">
        <v>1.7650079512673094</v>
      </c>
      <c r="AX6" s="314">
        <v>214.27401298731584</v>
      </c>
      <c r="AY6" s="314">
        <v>4.3451499999999999E-3</v>
      </c>
    </row>
    <row r="7" spans="2:56" ht="14.25" x14ac:dyDescent="0.15">
      <c r="F7" s="321"/>
      <c r="G7" s="321"/>
      <c r="H7" s="321"/>
      <c r="I7" s="321"/>
      <c r="J7" s="321"/>
      <c r="K7" s="321"/>
      <c r="L7" s="321"/>
      <c r="M7" s="321"/>
      <c r="N7" s="560" t="s">
        <v>16</v>
      </c>
      <c r="O7" s="560"/>
      <c r="P7" s="321"/>
      <c r="Q7" s="321"/>
      <c r="R7" s="321"/>
      <c r="S7" s="321"/>
      <c r="T7" s="321"/>
      <c r="U7" s="322"/>
      <c r="V7" s="321"/>
      <c r="W7" s="321"/>
      <c r="X7" s="321"/>
      <c r="Y7" s="321"/>
      <c r="Z7" s="321"/>
      <c r="AA7" s="321"/>
      <c r="AB7" s="321"/>
      <c r="AC7" s="321"/>
      <c r="AD7" s="321"/>
      <c r="AE7" s="321"/>
      <c r="AF7" s="321"/>
      <c r="AG7" s="321"/>
      <c r="AH7" s="321"/>
      <c r="AI7" s="321"/>
      <c r="AJ7" s="321"/>
      <c r="AK7" s="323"/>
      <c r="AL7" s="321"/>
      <c r="AM7" s="72"/>
      <c r="AN7" s="314" t="b">
        <v>0</v>
      </c>
      <c r="AO7" s="314">
        <v>7.2727333333333323E-3</v>
      </c>
      <c r="AP7" s="314">
        <v>1.6206018767128911</v>
      </c>
      <c r="AQ7" s="314">
        <v>1.6206018767128911</v>
      </c>
      <c r="AR7" s="314">
        <v>7.7299999999999994E-2</v>
      </c>
      <c r="AS7" s="324">
        <v>1.6236938767128912</v>
      </c>
      <c r="AT7" s="324">
        <v>1.6307578767128912</v>
      </c>
      <c r="AU7" s="324" t="s">
        <v>316</v>
      </c>
      <c r="AV7" s="324">
        <v>1</v>
      </c>
      <c r="AW7" s="314">
        <v>1.6380306100462245</v>
      </c>
      <c r="AX7" s="314"/>
      <c r="AY7" s="314">
        <v>7.2727333333333331E-3</v>
      </c>
      <c r="AZ7" s="72"/>
      <c r="BA7" s="72"/>
      <c r="BB7" s="72"/>
      <c r="BC7" s="72"/>
      <c r="BD7" s="72"/>
    </row>
    <row r="8" spans="2:56" ht="14.25" thickBot="1" x14ac:dyDescent="0.2">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c r="AI8" s="325"/>
      <c r="AJ8" s="127"/>
      <c r="AK8" s="127"/>
      <c r="AL8" s="326" t="s">
        <v>246</v>
      </c>
      <c r="AM8" s="72"/>
      <c r="AN8" s="72"/>
      <c r="AO8" s="72"/>
      <c r="AP8" s="72"/>
      <c r="AQ8" s="72"/>
      <c r="AR8" s="72"/>
      <c r="AS8" s="72"/>
      <c r="AT8" s="72"/>
      <c r="AU8" s="72"/>
      <c r="AV8" s="327"/>
      <c r="AW8" s="72"/>
      <c r="AX8" s="72"/>
      <c r="AY8" s="72"/>
      <c r="AZ8" s="328">
        <f>VLOOKUP(2000,ＡＣＧ,3,FALSE)</f>
        <v>24.98</v>
      </c>
      <c r="BA8" s="72"/>
      <c r="BB8" s="72"/>
      <c r="BC8" s="72"/>
      <c r="BD8" s="72"/>
    </row>
    <row r="9" spans="2:56" ht="15.75" customHeight="1" x14ac:dyDescent="0.15">
      <c r="D9" s="561" t="s">
        <v>17</v>
      </c>
      <c r="E9" s="564" t="s">
        <v>18</v>
      </c>
      <c r="F9" s="567" t="s">
        <v>247</v>
      </c>
      <c r="G9" s="568"/>
      <c r="H9" s="568"/>
      <c r="I9" s="568"/>
      <c r="J9" s="568"/>
      <c r="K9" s="569"/>
      <c r="L9" s="570" t="s">
        <v>19</v>
      </c>
      <c r="M9" s="571"/>
      <c r="N9" s="572"/>
      <c r="O9" s="573" t="s">
        <v>20</v>
      </c>
      <c r="P9" s="574"/>
      <c r="Q9" s="574"/>
      <c r="R9" s="574"/>
      <c r="S9" s="574"/>
      <c r="T9" s="574"/>
      <c r="U9" s="574"/>
      <c r="V9" s="574"/>
      <c r="W9" s="572"/>
      <c r="X9" s="570" t="s">
        <v>21</v>
      </c>
      <c r="Y9" s="578"/>
      <c r="Z9" s="578"/>
      <c r="AA9" s="579"/>
      <c r="AB9" s="580" t="s">
        <v>22</v>
      </c>
      <c r="AC9" s="578"/>
      <c r="AD9" s="578"/>
      <c r="AE9" s="581"/>
      <c r="AF9" s="71" t="s">
        <v>23</v>
      </c>
      <c r="AG9" s="582" t="s">
        <v>24</v>
      </c>
      <c r="AH9" s="583"/>
      <c r="AI9" s="584"/>
      <c r="AJ9" s="585" t="s">
        <v>25</v>
      </c>
      <c r="AK9" s="586"/>
      <c r="AL9" s="589" t="s">
        <v>248</v>
      </c>
      <c r="AM9" s="72"/>
      <c r="AN9" s="72"/>
      <c r="AO9" s="72"/>
      <c r="AP9" s="72"/>
      <c r="AQ9" s="72"/>
      <c r="AR9" s="72"/>
      <c r="AS9" s="72"/>
      <c r="AT9" s="72"/>
      <c r="AU9" s="72"/>
      <c r="AV9" s="72"/>
      <c r="AW9" s="72"/>
      <c r="AX9" s="72"/>
      <c r="AY9" s="72"/>
      <c r="AZ9" s="72"/>
      <c r="BA9" s="72"/>
      <c r="BB9" s="72"/>
      <c r="BC9" s="72"/>
      <c r="BD9" s="72"/>
    </row>
    <row r="10" spans="2:56" ht="15.75" customHeight="1" x14ac:dyDescent="0.15">
      <c r="D10" s="562"/>
      <c r="E10" s="565"/>
      <c r="F10" s="592" t="s">
        <v>26</v>
      </c>
      <c r="G10" s="593"/>
      <c r="H10" s="593"/>
      <c r="I10" s="593"/>
      <c r="J10" s="593"/>
      <c r="K10" s="594"/>
      <c r="L10" s="595" t="s">
        <v>249</v>
      </c>
      <c r="M10" s="596"/>
      <c r="N10" s="597" t="s">
        <v>27</v>
      </c>
      <c r="O10" s="599" t="s">
        <v>28</v>
      </c>
      <c r="P10" s="600"/>
      <c r="Q10" s="600"/>
      <c r="R10" s="600"/>
      <c r="S10" s="600"/>
      <c r="T10" s="600"/>
      <c r="U10" s="600"/>
      <c r="V10" s="601"/>
      <c r="W10" s="602" t="s">
        <v>29</v>
      </c>
      <c r="X10" s="604" t="s">
        <v>30</v>
      </c>
      <c r="Y10" s="605"/>
      <c r="Z10" s="605"/>
      <c r="AA10" s="73" t="s">
        <v>31</v>
      </c>
      <c r="AB10" s="606" t="s">
        <v>30</v>
      </c>
      <c r="AC10" s="605"/>
      <c r="AD10" s="596"/>
      <c r="AE10" s="73" t="s">
        <v>31</v>
      </c>
      <c r="AF10" s="74" t="s">
        <v>32</v>
      </c>
      <c r="AG10" s="607" t="s">
        <v>33</v>
      </c>
      <c r="AH10" s="608"/>
      <c r="AI10" s="86" t="s">
        <v>34</v>
      </c>
      <c r="AJ10" s="587"/>
      <c r="AK10" s="588"/>
      <c r="AL10" s="590"/>
      <c r="AM10" s="72"/>
      <c r="AN10" s="260" t="s">
        <v>250</v>
      </c>
      <c r="AO10" s="260" t="s">
        <v>251</v>
      </c>
      <c r="AP10" s="260" t="s">
        <v>252</v>
      </c>
      <c r="AQ10" s="260" t="s">
        <v>253</v>
      </c>
      <c r="AR10" s="260" t="s">
        <v>254</v>
      </c>
      <c r="AS10" s="260" t="s">
        <v>255</v>
      </c>
      <c r="AT10" s="260" t="s">
        <v>256</v>
      </c>
      <c r="AU10" s="260"/>
      <c r="AV10" s="261" t="s">
        <v>257</v>
      </c>
      <c r="AW10" s="260" t="s">
        <v>258</v>
      </c>
      <c r="AX10" s="260" t="s">
        <v>259</v>
      </c>
      <c r="AY10" s="72"/>
      <c r="AZ10" s="260" t="s">
        <v>260</v>
      </c>
      <c r="BA10" s="260" t="s">
        <v>35</v>
      </c>
      <c r="BB10" s="72"/>
      <c r="BC10" s="72"/>
      <c r="BD10" s="72"/>
    </row>
    <row r="11" spans="2:56" ht="15" customHeight="1" x14ac:dyDescent="0.15">
      <c r="D11" s="562"/>
      <c r="E11" s="565"/>
      <c r="F11" s="75"/>
      <c r="G11" s="76" t="s">
        <v>261</v>
      </c>
      <c r="H11" s="77"/>
      <c r="I11" s="78" t="s">
        <v>262</v>
      </c>
      <c r="J11" s="79"/>
      <c r="K11" s="80" t="s">
        <v>263</v>
      </c>
      <c r="L11" s="609" t="s">
        <v>36</v>
      </c>
      <c r="M11" s="81" t="s">
        <v>37</v>
      </c>
      <c r="N11" s="598"/>
      <c r="O11" s="611" t="s">
        <v>35</v>
      </c>
      <c r="P11" s="82"/>
      <c r="Q11" s="614" t="s">
        <v>38</v>
      </c>
      <c r="R11" s="614" t="s">
        <v>39</v>
      </c>
      <c r="S11" s="615" t="s">
        <v>40</v>
      </c>
      <c r="T11" s="83"/>
      <c r="U11" s="616" t="s">
        <v>41</v>
      </c>
      <c r="V11" s="84" t="s">
        <v>264</v>
      </c>
      <c r="W11" s="603"/>
      <c r="X11" s="617" t="s">
        <v>42</v>
      </c>
      <c r="Y11" s="631" t="s">
        <v>43</v>
      </c>
      <c r="Z11" s="633" t="s">
        <v>265</v>
      </c>
      <c r="AA11" s="635" t="s">
        <v>44</v>
      </c>
      <c r="AB11" s="633" t="s">
        <v>42</v>
      </c>
      <c r="AC11" s="631" t="s">
        <v>43</v>
      </c>
      <c r="AD11" s="633" t="s">
        <v>265</v>
      </c>
      <c r="AE11" s="619" t="s">
        <v>44</v>
      </c>
      <c r="AF11" s="85" t="s">
        <v>45</v>
      </c>
      <c r="AG11" s="621" t="s">
        <v>266</v>
      </c>
      <c r="AH11" s="622"/>
      <c r="AI11" s="623" t="s">
        <v>46</v>
      </c>
      <c r="AJ11" s="625"/>
      <c r="AK11" s="626"/>
      <c r="AL11" s="590"/>
      <c r="AM11" s="72"/>
      <c r="AN11" s="262" t="s">
        <v>267</v>
      </c>
      <c r="AO11" s="260" t="s">
        <v>268</v>
      </c>
      <c r="AP11" s="260" t="s">
        <v>269</v>
      </c>
      <c r="AQ11" s="260" t="s">
        <v>270</v>
      </c>
      <c r="AR11" s="260" t="s">
        <v>271</v>
      </c>
      <c r="AS11" s="260" t="s">
        <v>272</v>
      </c>
      <c r="AT11" s="260" t="s">
        <v>273</v>
      </c>
      <c r="AU11" s="260"/>
      <c r="AV11" s="261" t="s">
        <v>274</v>
      </c>
      <c r="AW11" s="260" t="s">
        <v>275</v>
      </c>
      <c r="AX11" s="72"/>
      <c r="AY11" s="72"/>
      <c r="AZ11" s="260" t="s">
        <v>276</v>
      </c>
      <c r="BA11" s="72"/>
      <c r="BB11" s="72"/>
      <c r="BC11" s="72"/>
      <c r="BD11" s="72"/>
    </row>
    <row r="12" spans="2:56" ht="15" customHeight="1" x14ac:dyDescent="0.15">
      <c r="B12" s="263" t="s">
        <v>277</v>
      </c>
      <c r="D12" s="562"/>
      <c r="E12" s="565"/>
      <c r="F12" s="627" t="s">
        <v>47</v>
      </c>
      <c r="G12" s="605"/>
      <c r="H12" s="605"/>
      <c r="I12" s="605"/>
      <c r="J12" s="605"/>
      <c r="K12" s="628"/>
      <c r="L12" s="610"/>
      <c r="M12" s="81" t="s">
        <v>278</v>
      </c>
      <c r="N12" s="87" t="s">
        <v>279</v>
      </c>
      <c r="O12" s="612"/>
      <c r="P12" s="88" t="s">
        <v>48</v>
      </c>
      <c r="Q12" s="614"/>
      <c r="R12" s="614"/>
      <c r="S12" s="615"/>
      <c r="T12" s="89" t="s">
        <v>49</v>
      </c>
      <c r="U12" s="616"/>
      <c r="V12" s="90" t="s">
        <v>280</v>
      </c>
      <c r="W12" s="91" t="s">
        <v>279</v>
      </c>
      <c r="X12" s="618"/>
      <c r="Y12" s="632"/>
      <c r="Z12" s="634"/>
      <c r="AA12" s="636"/>
      <c r="AB12" s="637"/>
      <c r="AC12" s="632"/>
      <c r="AD12" s="634"/>
      <c r="AE12" s="620"/>
      <c r="AF12" s="85" t="s">
        <v>50</v>
      </c>
      <c r="AG12" s="604" t="s">
        <v>281</v>
      </c>
      <c r="AH12" s="622"/>
      <c r="AI12" s="624"/>
      <c r="AJ12" s="629" t="s">
        <v>51</v>
      </c>
      <c r="AK12" s="630"/>
      <c r="AL12" s="590"/>
      <c r="AM12" s="72"/>
      <c r="AN12" s="260" t="s">
        <v>282</v>
      </c>
      <c r="AO12" s="260" t="s">
        <v>283</v>
      </c>
      <c r="AP12" s="260" t="s">
        <v>284</v>
      </c>
      <c r="AQ12" s="260" t="s">
        <v>285</v>
      </c>
      <c r="AR12" s="260" t="s">
        <v>286</v>
      </c>
      <c r="AS12" s="260" t="s">
        <v>287</v>
      </c>
      <c r="AT12" s="260" t="s">
        <v>288</v>
      </c>
      <c r="AU12" s="260" t="s">
        <v>288</v>
      </c>
      <c r="AV12" s="260"/>
      <c r="AW12" s="260" t="s">
        <v>289</v>
      </c>
      <c r="AX12" s="260" t="s">
        <v>290</v>
      </c>
      <c r="AY12" s="72"/>
      <c r="AZ12" s="260" t="s">
        <v>291</v>
      </c>
      <c r="BA12" s="72"/>
      <c r="BB12" s="72"/>
      <c r="BC12" s="72"/>
      <c r="BD12" s="72"/>
    </row>
    <row r="13" spans="2:56" ht="15" customHeight="1" x14ac:dyDescent="0.15">
      <c r="B13" s="264" t="s">
        <v>226</v>
      </c>
      <c r="D13" s="563"/>
      <c r="E13" s="566"/>
      <c r="F13" s="575" t="s">
        <v>52</v>
      </c>
      <c r="G13" s="576"/>
      <c r="H13" s="576"/>
      <c r="I13" s="576"/>
      <c r="J13" s="576"/>
      <c r="K13" s="577"/>
      <c r="L13" s="92" t="s">
        <v>53</v>
      </c>
      <c r="M13" s="93" t="s">
        <v>54</v>
      </c>
      <c r="N13" s="94"/>
      <c r="O13" s="613"/>
      <c r="P13" s="95" t="s">
        <v>292</v>
      </c>
      <c r="Q13" s="96" t="s">
        <v>293</v>
      </c>
      <c r="R13" s="96" t="s">
        <v>294</v>
      </c>
      <c r="S13" s="97" t="s">
        <v>295</v>
      </c>
      <c r="T13" s="98" t="s">
        <v>296</v>
      </c>
      <c r="U13" s="99" t="s">
        <v>297</v>
      </c>
      <c r="V13" s="100" t="s">
        <v>298</v>
      </c>
      <c r="W13" s="101" t="s">
        <v>55</v>
      </c>
      <c r="X13" s="638" t="s">
        <v>56</v>
      </c>
      <c r="Y13" s="639"/>
      <c r="Z13" s="639"/>
      <c r="AA13" s="640"/>
      <c r="AB13" s="641" t="s">
        <v>57</v>
      </c>
      <c r="AC13" s="642"/>
      <c r="AD13" s="642"/>
      <c r="AE13" s="643"/>
      <c r="AF13" s="102" t="s">
        <v>58</v>
      </c>
      <c r="AG13" s="644" t="s">
        <v>299</v>
      </c>
      <c r="AH13" s="645"/>
      <c r="AI13" s="646"/>
      <c r="AJ13" s="103" t="s">
        <v>300</v>
      </c>
      <c r="AK13" s="104" t="s">
        <v>301</v>
      </c>
      <c r="AL13" s="591"/>
      <c r="AM13" s="72"/>
      <c r="AN13" s="260" t="s">
        <v>302</v>
      </c>
      <c r="AO13" s="260" t="s">
        <v>303</v>
      </c>
      <c r="AP13" s="260" t="s">
        <v>304</v>
      </c>
      <c r="AQ13" s="260" t="s">
        <v>305</v>
      </c>
      <c r="AR13" s="260" t="s">
        <v>306</v>
      </c>
      <c r="AS13" s="260" t="s">
        <v>307</v>
      </c>
      <c r="AT13" s="260" t="s">
        <v>308</v>
      </c>
      <c r="AU13" s="260" t="s">
        <v>308</v>
      </c>
      <c r="AV13" s="260"/>
      <c r="AW13" s="260" t="s">
        <v>309</v>
      </c>
      <c r="AX13" s="72"/>
      <c r="AY13" s="72"/>
      <c r="AZ13" s="260" t="s">
        <v>310</v>
      </c>
      <c r="BA13" s="72"/>
      <c r="BB13" s="72"/>
      <c r="BC13" s="72"/>
      <c r="BD13" s="72"/>
    </row>
    <row r="14" spans="2:56" ht="20.25" hidden="1" customHeight="1" x14ac:dyDescent="0.15">
      <c r="D14" s="647"/>
      <c r="E14" s="650"/>
      <c r="F14" s="653"/>
      <c r="G14" s="655" t="str">
        <f>IF(F14="","","φ")</f>
        <v/>
      </c>
      <c r="H14" s="657"/>
      <c r="I14" s="655" t="str">
        <f>IF(H14="","","W")</f>
        <v/>
      </c>
      <c r="J14" s="657"/>
      <c r="K14" s="671" t="str">
        <f>IF(J14="","","V")</f>
        <v/>
      </c>
      <c r="L14" s="673"/>
      <c r="M14" s="124"/>
      <c r="N14" s="675"/>
      <c r="O14" s="329"/>
      <c r="P14" s="330"/>
      <c r="Q14" s="331"/>
      <c r="R14" s="332"/>
      <c r="S14" s="265" t="str">
        <f>IF(R14="","",IF(Q14="",P14/R14,P14/(Q14*R14)))</f>
        <v/>
      </c>
      <c r="T14" s="333"/>
      <c r="U14" s="266" t="str">
        <f>IF(OR(BA16="",S14=""),"",S14*1000*T14/(SQRT(BA14)*BA16))</f>
        <v/>
      </c>
      <c r="V14" s="678" t="str">
        <f>IF(AND(N(U14)=0,N(U15)=0,N(U16)=0,N(U17)=0),"",BA16/(SUM(U14:U17)))</f>
        <v/>
      </c>
      <c r="W14" s="680"/>
      <c r="X14" s="682"/>
      <c r="Y14" s="683"/>
      <c r="Z14" s="684"/>
      <c r="AA14" s="704"/>
      <c r="AB14" s="706"/>
      <c r="AC14" s="683"/>
      <c r="AD14" s="684"/>
      <c r="AE14" s="708"/>
      <c r="AF14" s="125" t="str">
        <f>IF(OR(AND(AF10="",N(BA12)=0,BA16&lt;&gt;0),D14&lt;&gt;""),AX16/AQ15,"")</f>
        <v/>
      </c>
      <c r="AG14" s="710" t="str">
        <f>IF(BA16=0,"",IF(AD16="",AX14,IF(AND(D14&lt;&gt;"",AU14=""),AX16*SQRT(AP16^2+AP17^2)/SQRT(AS14^2+AS15^2)/AQ15,AX14*SQRT(AP16^2+AP17^2)/SQRT(AS14^2+AS15^2))))</f>
        <v/>
      </c>
      <c r="AH14" s="711"/>
      <c r="AI14" s="126" t="str">
        <f>IF(AG14="","",AX14*AQ15/SQRT(AS14^2+AS15^2))</f>
        <v/>
      </c>
      <c r="AJ14" s="659"/>
      <c r="AK14" s="660"/>
      <c r="AL14" s="267"/>
      <c r="AM14" s="72"/>
      <c r="AN14" s="105" t="b">
        <f>IF(BA14="","",IF(AND(BA14=1,F16=50,L14="油入自冷"),VLOOKUP(L16,変１,2,FALSE),IF(AND(BA14=1,F16=50,L14="モ－ルド絶縁"),VLOOKUP(L16,変１,7,FALSE),IF(AND(BA14=1,F16=60,L14="油入自冷"),VLOOKUP(L16,変１,12,FALSE),IF(AND(BA14=1,F16=60,L14="モ－ルド絶縁"),VLOOKUP(L16,変１,17,FALSE),FALSE)))))</f>
        <v>0</v>
      </c>
      <c r="AO14" s="105">
        <f>IF(ISNA(VLOOKUP(L16,変ＵＳＥＲ,2,FALSE)),0,VLOOKUP(L16,変ＵＳＥＲ,2,FALSE))</f>
        <v>0</v>
      </c>
      <c r="AP14" s="106">
        <f>IF(N14="",0,N14*1000/BA16^2/SQRT(BA14))</f>
        <v>0</v>
      </c>
      <c r="AQ14" s="105" t="b">
        <f>IF(BA14=1,2,IF(BA14=3,SQRT(3),FALSE))</f>
        <v>0</v>
      </c>
      <c r="AR14" s="107" t="str">
        <f>IF(X14="","",IF(X14="600V IV",VLOOKUP(X16,ＩＶ,2,FALSE),IF(X14="600V CV-T",VLOOKUP(X16,ＣＶＴ,2,FALSE),IF(OR(X14="600V CV-1C",X14="600V CV-2C",X14="600V CV-3C",X14="600V CV-4C"),VLOOKUP(X16,ＣＶ２３Ｃ,2,FALSE),VLOOKUP(X16,ＣＵＳＥＲ,2,FALSE)))))</f>
        <v/>
      </c>
      <c r="AS14" s="105" t="str">
        <f>IF(AB17="",AP16,AP16+(AB17/1000))</f>
        <v/>
      </c>
      <c r="AT14" s="108" t="e">
        <f>IF(AU16="",AT16,AU16)</f>
        <v>#VALUE!</v>
      </c>
      <c r="AU14" s="108" t="str">
        <f>IF(D14="","",IF(AND(D18="",D22&lt;&gt;"",AV17=AV25),AT22,IF(AND(D18="",D22="",D26&lt;&gt;"",AV21=AV29),AT26,IF(AND(D18="",D22="",D26="",D30&lt;&gt;"",AV25=AV33),AT30,IF(AND(D18="",D22="",D26="",D30="",D34&lt;&gt;"",AV29=AV37),AT34,IF(AND(D18="",D22="",D26="",D30="",D34="",D38&lt;&gt;"",AV33=AV41),AT38,IF(AND(D18="",D22="",D26="",D30="",D34="",D38="",D42&lt;&gt;"",AV37=AV45),AT42,"")))))))</f>
        <v/>
      </c>
      <c r="AV14" s="108" t="str">
        <f>IF(L14="発電機",IF(ISNA(VLOOKUP(L16,ＡＣＧ,2,FALSE)),0,VLOOKUP(L16,ＡＣＧ,2,FALSE)),"")</f>
        <v/>
      </c>
      <c r="AW14" s="109" t="e">
        <f>IF(AT14="","",AT14/((AT14*AP14)^2+(AT15*AP14-1)^2))</f>
        <v>#VALUE!</v>
      </c>
      <c r="AX14" s="110" t="str">
        <f>IF(BA16=0,"",IF(OR(AX10="",AF14&lt;&gt;""),AF14*SQRT(AS16^2+AS17^2)/SQRT(AT16^2+AT17^2),AX10*SQRT(AS16^2+AS17^2)/SQRT(AT16^2+AT17^2)))</f>
        <v/>
      </c>
      <c r="AY14" s="334">
        <f>IF(N(AY16)=10^30,10^30,IF(N(AY20)=10^30,(N(AY16)*(N(AY20)^2+N(AY21)^2)+N(AY20)*(N(AY16)^2+N(AY17)^2))/((N(AY16)+N(AY20))^2+(N(AY17)+N(AY21))^2),(N(AY16)*(N(AY18)^2+N(AY19)^2)+N(AY18)*(N(AY16)^2+N(AY17)^2))/((N(AY16)+N(AY18))^2+(N(AY17)+N(AY19))^2)))</f>
        <v>1E+30</v>
      </c>
      <c r="AZ14" s="72"/>
      <c r="BA14" s="335">
        <f>IF(AND(F14="",SUM(S14:S17)&lt;&gt;0),BA10,F14)</f>
        <v>0</v>
      </c>
      <c r="BB14" s="285">
        <f t="shared" ref="BB14:BB65" si="0">IF(OR(O14="熱源動力",O14="換気動力",O14="衛生動力",O14="生産動力",O14="動力差込",O14="防災動力"),1,0)</f>
        <v>0</v>
      </c>
      <c r="BC14" s="72"/>
      <c r="BD14" s="72"/>
    </row>
    <row r="15" spans="2:56" ht="18.75" hidden="1" customHeight="1" x14ac:dyDescent="0.15">
      <c r="D15" s="648"/>
      <c r="E15" s="651"/>
      <c r="F15" s="654"/>
      <c r="G15" s="656"/>
      <c r="H15" s="658"/>
      <c r="I15" s="656"/>
      <c r="J15" s="658"/>
      <c r="K15" s="672"/>
      <c r="L15" s="674"/>
      <c r="M15" s="111" t="str">
        <f>IF(L14="発電機",SQRT(AV14^2+AV15^2),IF(L16="","",IF(OR(L14="油入自冷",L14="モ－ルド絶縁"),IF(BA14=1,SQRT(AN14^2+AN15^2),IF(BA14=3,SQRT(AN16^2+AN17^2))),SQRT(AO14^2+AO15^2))))</f>
        <v/>
      </c>
      <c r="N15" s="676"/>
      <c r="O15" s="336"/>
      <c r="P15" s="337"/>
      <c r="Q15" s="338"/>
      <c r="R15" s="339"/>
      <c r="S15" s="112" t="str">
        <f>IF(R16="","",IF(Q16="",P16/R16,P16/(Q16*R16)))</f>
        <v/>
      </c>
      <c r="T15" s="340"/>
      <c r="U15" s="268" t="str">
        <f>IF(OR(BA16="",S15=""),"",S15*1000*T15/(SQRT(BA14)*BA16))</f>
        <v/>
      </c>
      <c r="V15" s="679"/>
      <c r="W15" s="681"/>
      <c r="X15" s="685"/>
      <c r="Y15" s="686"/>
      <c r="Z15" s="687"/>
      <c r="AA15" s="705"/>
      <c r="AB15" s="707"/>
      <c r="AC15" s="686"/>
      <c r="AD15" s="687"/>
      <c r="AE15" s="709"/>
      <c r="AF15" s="113" t="str">
        <f>IF(OR(AF14="",AG10&lt;&gt;""),"",AF14*AQ15/SQRT(AT14^2+AT15^2))</f>
        <v/>
      </c>
      <c r="AG15" s="663" t="str">
        <f>IF(AG14="","",100*AG14*AQ15/BA16)</f>
        <v/>
      </c>
      <c r="AH15" s="664"/>
      <c r="AI15" s="665" t="str">
        <f>IF(BA16=0,"",IF(AI10="",AX16/SQRT(AT14^2+AT15^2),IF(AI18="","",AX14*AQ11/SQRT(AT14^2+AT15^2))))</f>
        <v/>
      </c>
      <c r="AJ15" s="661"/>
      <c r="AK15" s="662"/>
      <c r="AL15" s="269"/>
      <c r="AM15" s="72"/>
      <c r="AN15" s="105" t="b">
        <f>IF(BA14="","",IF(AND(BA14=1,F16=50,L14="油入自冷"),VLOOKUP(L16,変１,3,FALSE),IF(AND(BA14=1,F16=50,L14="モ－ルド絶縁"),VLOOKUP(L16,変１,8,FALSE),IF(AND(BA14=1,F16=60,L14="油入自冷"),VLOOKUP(L16,変１,13,FALSE),IF(AND(BA14=1,F16=60,L14="モ－ルド絶縁"),VLOOKUP(L16,変１,18,FALSE),FALSE)))))</f>
        <v>0</v>
      </c>
      <c r="AO15" s="105">
        <f>IF(ISNA(VLOOKUP(L16,変ＵＳＥＲ,3,FALSE)),0,VLOOKUP(L16,変ＵＳＥＲ,3,FALSE)*BA17/50)</f>
        <v>0</v>
      </c>
      <c r="AP15" s="106">
        <f>IF(W14="",0,W14*1000/BA16^2/SQRT(BA14))</f>
        <v>0</v>
      </c>
      <c r="AQ15" s="105">
        <f>IF(AND(BA14=1,BA15=2),1,IF(AND(BA14=3,BA15=3),1,IF(AND(BA14=1,BA15=3),2,IF(AND(BA14=3,BA15=4)*OR(BB14=1,BB15=1,BB16=1,BB17=1),1,SQRT(3)))))</f>
        <v>1.7320508075688772</v>
      </c>
      <c r="AR15" s="107" t="str">
        <f>IF(X14="","",IF(X14="600V IV",VLOOKUP(X16,ＩＶ,3,FALSE),IF(X14="600V CV-T",VLOOKUP(X16,ＣＶＴ,3,FALSE),IF(OR(X14="600V CV-1C",X14="600V CV-2C",X14="600V CV-3C",X14="600V CV-4C"),VLOOKUP(X16,ＣＶ２３Ｃ,3,FALSE),VLOOKUP(X16,ＣＵＳＥＲ,3,FALSE)))))</f>
        <v/>
      </c>
      <c r="AS15" s="105" t="str">
        <f>IF(AD17="",AP17,AP17+(AD17/1000))</f>
        <v/>
      </c>
      <c r="AT15" s="108" t="e">
        <f>IF(AU17="",AT17,AU17)</f>
        <v>#VALUE!</v>
      </c>
      <c r="AU15" s="108" t="str">
        <f>IF(D14="","",IF(AND(D18="",D22&lt;&gt;"",AV17=AV25),AT23,IF(AND(D18="",D22="",D26&lt;&gt;"",AV21=AV29),AT27,IF(AND(D18="",D22="",D26="",D30&lt;&gt;"",AV25=AV33),AT31,IF(AND(D18="",D22="",D26="",D30="",D34&lt;&gt;"",AV29=AV37),AT35,IF(AND(D18="",D22="",D26="",D30="",D34="",D38&lt;&gt;"",AV33=AV41),AT39,IF(AND(D18="",D22="",D26="",D30="",D34="",D38="",D42&lt;&gt;"",AV37=AV45),AT43,"")))))))</f>
        <v/>
      </c>
      <c r="AV15" s="107" t="str">
        <f>IF(L14="発電機",IF(ISNA(VLOOKUP(L16,ＡＣＧ,3,FALSE)),0,VLOOKUP(L16,ＡＣＧ,3,FALSE)*BA17/50),"")</f>
        <v/>
      </c>
      <c r="AW15" s="109" t="e">
        <f>IF(AT15="","",(AT15-AP14*(AT14^2+AT15^2))/((AT14*AP14)^2+(AP14*AT15-1)^2))</f>
        <v>#VALUE!</v>
      </c>
      <c r="AX15" s="110"/>
      <c r="AY15" s="334">
        <f>IF(N(AY17)=10^30,10^30,IF(N(AY21)=10^30,(N(AY17)*(N(AY20)^2+N(AY21)^2)+N(AY21)*(N(AY16)^2+N(AY17)^2))/((N(AY16)+N(AY20))^2+(N(AY17)+N(AY21))^2),(N(AY17)*(N(AY18)^2+N(AY19)^2)+N(AY19)*(N(AY16)^2+N(AY17)^2))/((N(AY16)+N(AY18))^2+(N(AY17)+N(AY19))^2)))</f>
        <v>1E+30</v>
      </c>
      <c r="AZ15" s="72"/>
      <c r="BA15" s="335">
        <f>IF(AND(H14="",SUM(S14:S17)&lt;&gt;0),BA11,H14)</f>
        <v>0</v>
      </c>
      <c r="BB15" s="285">
        <f t="shared" si="0"/>
        <v>0</v>
      </c>
      <c r="BC15" s="72"/>
      <c r="BD15" s="72"/>
    </row>
    <row r="16" spans="2:56" ht="19.5" hidden="1" customHeight="1" x14ac:dyDescent="0.15">
      <c r="D16" s="648"/>
      <c r="E16" s="651"/>
      <c r="F16" s="688"/>
      <c r="G16" s="688"/>
      <c r="H16" s="688"/>
      <c r="I16" s="688"/>
      <c r="J16" s="688"/>
      <c r="K16" s="689"/>
      <c r="L16" s="690"/>
      <c r="M16" s="691"/>
      <c r="N16" s="676"/>
      <c r="O16" s="336"/>
      <c r="P16" s="341"/>
      <c r="Q16" s="342"/>
      <c r="R16" s="339"/>
      <c r="S16" s="112" t="str">
        <f>IF(R17="","",IF(Q17="",P17/R17,P17/(Q17*R17)))</f>
        <v/>
      </c>
      <c r="T16" s="340"/>
      <c r="U16" s="114" t="str">
        <f>IF(OR(BA16="",S16=""),"",S16*1000*T16/(SQRT(BA14)*BA16))</f>
        <v/>
      </c>
      <c r="V16" s="115" t="str">
        <f>IF(AND(N(U14)=0,N(U15)=0,N(U16)=0,N(U17)=0),"",V14*(P14*R14*T14+P15*R15*T15+P16*R16*T16+P17*R17*T17)/(P14*T14+P15*T15+P16*T16+P17*T17))</f>
        <v/>
      </c>
      <c r="W16" s="692" t="str">
        <f>IF(AND(N(AP16)=0,N(AP17)=0,N(AP15)=0),"",IF(AP17&gt;=0,COS(ATAN(AP17/AP16)),-COS(ATAN(AP17/AP16))))</f>
        <v/>
      </c>
      <c r="X16" s="343"/>
      <c r="Y16" s="344"/>
      <c r="Z16" s="345"/>
      <c r="AA16" s="346"/>
      <c r="AB16" s="347"/>
      <c r="AC16" s="344"/>
      <c r="AD16" s="345"/>
      <c r="AE16" s="348"/>
      <c r="AF16" s="116" t="str">
        <f>IF(OR(AF14="",AG10&lt;&gt;""),"",BA16/SQRT(AW16^2+AW17^2))</f>
        <v/>
      </c>
      <c r="AG16" s="663" t="str">
        <f>IF(AG14="","",100*((BA16/AQ15)-AG14)/(BA16/AQ15))</f>
        <v/>
      </c>
      <c r="AH16" s="664"/>
      <c r="AI16" s="666"/>
      <c r="AJ16" s="667"/>
      <c r="AK16" s="669"/>
      <c r="AL16" s="349"/>
      <c r="AM16" s="72"/>
      <c r="AN16" s="117" t="b">
        <f>IF(BA14="","",IF(AND(BA14=3,F16=50,L14="油入自冷"),VLOOKUP(L16,変３,2,FALSE),IF(AND(BA14=3,F16=50,L14="モ－ルド絶縁"),VLOOKUP(L16,変３,7,FALSE),IF(AND(BA14=3,F16=60,L14="油入自冷"),VLOOKUP(L16,変３,12,FALSE),IF(AND(BA14=3,F16=60,L14="モ－ルド絶縁"),VLOOKUP(L16,変３,17,FALSE),FALSE)))))</f>
        <v>0</v>
      </c>
      <c r="AO16" s="107" t="str">
        <f>IF(AND(L10="",N(AY14)&lt;10^29),AY14,"")</f>
        <v/>
      </c>
      <c r="AP16" s="118" t="str">
        <f>IF(V14="","",IF(AND(N(V16)=0,N(AP15)=0),"",AQ16/((AQ16*AP15)^2+(AP15*AQ17-1)^2)))</f>
        <v/>
      </c>
      <c r="AQ16" s="105">
        <f>IF(N(V16)=0,10^30,V16)</f>
        <v>1E+30</v>
      </c>
      <c r="AR16" s="107" t="str">
        <f>IF(AB14="","",IF(AB14="600V IV",VLOOKUP(AB16,ＩＶ,2,FALSE),IF(AB14="600V CV-T",VLOOKUP(AB16,ＣＶＴ,2,FALSE),IF(OR(AB14="600V CV-1C",AB14="600V CV-2C",AB14="600V CV-3C",AB14="600V CV-4C"),VLOOKUP(AB16,ＣＶ２３Ｃ,2,FALSE),VLOOKUP(AB16,ＣＵＳＥＲ,2,FALSE)))))</f>
        <v/>
      </c>
      <c r="AS16" s="105" t="e">
        <f>IF(OR(AND(AS18="",AS19=""),AND(D14="",D18&lt;&gt;"")),AS14,(AS14*(AT18^2+AT19^2)+AT18*(AS14^2+AS15^2))/((AS14+AT18)^2+(AS15+AT19)^2))</f>
        <v>#VALUE!</v>
      </c>
      <c r="AT16" s="108" t="e">
        <f>IF(X17="",AS16,N(AS16)+(X17/1000))</f>
        <v>#VALUE!</v>
      </c>
      <c r="AU16" s="108" t="str">
        <f>IF(AU14="","",(AT16*(AU14^2+AU15^2)+AU14*(AT16^2+AT17^2))/((AT16+AU14)^2+(AT17+AU15)^2))</f>
        <v/>
      </c>
      <c r="AV16" s="108">
        <f>IF(BA16=0,1,0)</f>
        <v>1</v>
      </c>
      <c r="AW16" s="109" t="str">
        <f>IF(AO16="","",AW14+AO16)</f>
        <v/>
      </c>
      <c r="AX16" s="110" t="str">
        <f>IF(AND(AX12="",AW16&lt;&gt;""),BA16*SQRT(AW14^2+AW15^2)/SQRT(AW16^2+AW17^2),IF(BA16&lt;&gt;0,AX12,""))</f>
        <v/>
      </c>
      <c r="AY16" s="350">
        <f>IF(L16="",10^30,SQRT(BA14)*(BA16^2)*(N(AN14)+N(AN16)+N(AO14)+N(AV14))/(100000*L16*M14))</f>
        <v>1E+30</v>
      </c>
      <c r="AZ16" s="351"/>
      <c r="BA16" s="335">
        <f>IF(AND(J14="",SUM(S14:S17)&lt;&gt;0),BA12,J14)</f>
        <v>0</v>
      </c>
      <c r="BB16" s="285">
        <f t="shared" si="0"/>
        <v>0</v>
      </c>
      <c r="BC16" s="72"/>
      <c r="BD16" s="72"/>
    </row>
    <row r="17" spans="2:56" ht="19.5" hidden="1" customHeight="1" x14ac:dyDescent="0.15">
      <c r="D17" s="649"/>
      <c r="E17" s="652"/>
      <c r="F17" s="694"/>
      <c r="G17" s="694"/>
      <c r="H17" s="694"/>
      <c r="I17" s="694"/>
      <c r="J17" s="694"/>
      <c r="K17" s="695"/>
      <c r="L17" s="696" t="str">
        <f>IF(M14="","",L16*1000*M14/(SQRT(BA14)*BA16))</f>
        <v/>
      </c>
      <c r="M17" s="697"/>
      <c r="N17" s="677"/>
      <c r="O17" s="352"/>
      <c r="P17" s="353"/>
      <c r="Q17" s="354"/>
      <c r="R17" s="355"/>
      <c r="S17" s="119" t="str">
        <f>IF(R17="","",IF(Q17="",P17/R17,P17/(Q17*R17)))</f>
        <v/>
      </c>
      <c r="T17" s="356"/>
      <c r="U17" s="120" t="str">
        <f>IF(OR(BA16="",S17=""),"",S17*1000*T17/(SQRT(BA14)*BA16))</f>
        <v/>
      </c>
      <c r="V17" s="121" t="str">
        <f>IF(AND(N(U14)=0,N(U15)=0,N(U16)=0,N(U17)=0),"",IF(V14&gt;=0,SQRT(ABS(V14^2-V16^2)),-SQRT(V14^2-V16^2)))</f>
        <v/>
      </c>
      <c r="W17" s="693"/>
      <c r="X17" s="698" t="str">
        <f>IF(Y16="","",AQ14*Z16*AR14*((1+0.00393*(F17-20))/1.2751)/Y16)</f>
        <v/>
      </c>
      <c r="Y17" s="699"/>
      <c r="Z17" s="700" t="str">
        <f>IF(Y16="","",(BA17/50)*AQ14*Z16*AR15/Y16)</f>
        <v/>
      </c>
      <c r="AA17" s="701"/>
      <c r="AB17" s="702" t="str">
        <f>IF(AC16="","",AQ14*AD16*AR16*((1+0.00393*(F17-20))/1.2751)/AC16)</f>
        <v/>
      </c>
      <c r="AC17" s="699"/>
      <c r="AD17" s="700" t="str">
        <f>IF(AC16="","",(BA17/50)*AQ14*AD16*AR17/AC16)</f>
        <v/>
      </c>
      <c r="AE17" s="703"/>
      <c r="AF17" s="122" t="str">
        <f>IF(AND(AX14&lt;&gt;"",D14=""),AX14,"")</f>
        <v/>
      </c>
      <c r="AG17" s="698" t="str">
        <f>IF(AP16="","",AP16)</f>
        <v/>
      </c>
      <c r="AH17" s="699"/>
      <c r="AI17" s="123" t="str">
        <f>IF(AP17="","",AP17)</f>
        <v/>
      </c>
      <c r="AJ17" s="668"/>
      <c r="AK17" s="670"/>
      <c r="AL17" s="357"/>
      <c r="AM17" s="72"/>
      <c r="AN17" s="270" t="b">
        <f>IF(BA14="","",IF(AND(BA14=3,F16=50,L14="油入自冷"),VLOOKUP(L16,変３,3,FALSE),IF(AND(BA14=3,F16=50,L14="モ－ルド絶縁"),VLOOKUP(L16,変３,8,FALSE),IF(AND(BA14=3,F16=60,L14="油入自冷"),VLOOKUP(L16,変３,13,FALSE),IF(AND(BA14=3,F16=60,L14="モ－ルド絶縁"),VLOOKUP(L16,変３,18,FALSE),FALSE)))))</f>
        <v>0</v>
      </c>
      <c r="AO17" s="270" t="str">
        <f>IF(AND(L10="",N(AY15)&lt;10^29),AY15,"")</f>
        <v/>
      </c>
      <c r="AP17" s="271" t="str">
        <f>IF(V14="","",IF(AND(N(V17)=0,N(AP15)=0),0,(AQ17-AP15*(AQ16^2+AQ17^2))/((AQ16*AP15)^2+(AP15*AQ17-1)^2)))</f>
        <v/>
      </c>
      <c r="AQ17" s="272">
        <f>IF(N(V17)=0,10^30,V17)</f>
        <v>1E+30</v>
      </c>
      <c r="AR17" s="270" t="str">
        <f>IF(AB14="","",IF(AB14="600V IV",VLOOKUP(AB16,ＩＶ,3,FALSE),IF(AB14="600V CV-T",VLOOKUP(AB16,ＣＶＴ,3,FALSE),IF(OR(AB14="600V CV-1C",AB14="600V CV-2C",AB14="600V CV-3C",AB14="600V CV-4C"),VLOOKUP(AB16,ＣＶ２３Ｃ,3,FALSE),VLOOKUP(AB16,ＣＵＳＥＲ,3,FALSE)))))</f>
        <v/>
      </c>
      <c r="AS17" s="272" t="e">
        <f>IF(OR(AND(AS18="",AS19=""),AND(D14="",D18&lt;&gt;"")),AS15,(AS15*(AT18^2+AT19^2)+AT19*(AS14^2+AS15^2))/((AS14+AT18)^2+(AS15+AT19)^2))</f>
        <v>#VALUE!</v>
      </c>
      <c r="AT17" s="273" t="e">
        <f>IF(Z17="",AS17,N(AS17)+(Z17/1000))</f>
        <v>#VALUE!</v>
      </c>
      <c r="AU17" s="273" t="str">
        <f>IF(AU15="","",(AT17*(AU14^2+AU15^2)+AU15*(AT16^2+AT17^2))/((AT16+AU14)^2+(AT17+AU15)^2))</f>
        <v/>
      </c>
      <c r="AV17" s="273">
        <f>AV13+AV16</f>
        <v>1</v>
      </c>
      <c r="AW17" s="272" t="str">
        <f>IF(AO17="","",AW15+AO17)</f>
        <v/>
      </c>
      <c r="AX17" s="274"/>
      <c r="AY17" s="350">
        <f>IF(L16="",10^30,SQRT(BA14)*(BA16^2)*(N(AN15)+N(AN17)+N(AO15)+N(AV15))/(100000*L16*M14))</f>
        <v>1E+30</v>
      </c>
      <c r="AZ17" s="351"/>
      <c r="BA17" s="335">
        <f>IF(AND(F16="",SUM(S14:S17)&lt;&gt;0),BA13,F16)</f>
        <v>0</v>
      </c>
      <c r="BB17" s="285">
        <f t="shared" si="0"/>
        <v>0</v>
      </c>
      <c r="BC17" s="72"/>
      <c r="BD17" s="72"/>
    </row>
    <row r="18" spans="2:56" ht="15" customHeight="1" x14ac:dyDescent="0.15">
      <c r="B18" s="358"/>
      <c r="D18" s="647"/>
      <c r="E18" s="712"/>
      <c r="F18" s="653" t="str">
        <f>LEFT(誤差比較!E11,1)</f>
        <v>3</v>
      </c>
      <c r="G18" s="655" t="str">
        <f>IF(F18="","","φ")</f>
        <v>φ</v>
      </c>
      <c r="H18" s="657" t="str">
        <f>MID(誤差比較!E11,3,1)</f>
        <v>3</v>
      </c>
      <c r="I18" s="655" t="str">
        <f>IF(H18="","","W")</f>
        <v>W</v>
      </c>
      <c r="J18" s="657">
        <f>誤差比較!K13</f>
        <v>210</v>
      </c>
      <c r="K18" s="671" t="str">
        <f>IF(J18="","","V")</f>
        <v>V</v>
      </c>
      <c r="L18" s="725" t="str">
        <f>誤差比較!R13</f>
        <v>油入自冷</v>
      </c>
      <c r="M18" s="124">
        <f>誤差比較!H13</f>
        <v>1</v>
      </c>
      <c r="N18" s="675"/>
      <c r="O18" s="329" t="str">
        <f>誤差比較!S17</f>
        <v>動力盤-1</v>
      </c>
      <c r="P18" s="332">
        <f>誤差比較!U17*誤差比較!X17</f>
        <v>33</v>
      </c>
      <c r="Q18" s="331">
        <f>誤差比較!Z17</f>
        <v>0.89280000000000004</v>
      </c>
      <c r="R18" s="332">
        <f>誤差比較!AC17</f>
        <v>0.75880000000000003</v>
      </c>
      <c r="S18" s="277">
        <f>IF(R18="","",IF(Q18="",P18/R18,P18/(Q18*R18)))</f>
        <v>48.711604627567006</v>
      </c>
      <c r="T18" s="359">
        <f>誤差比較!AI17</f>
        <v>0.85</v>
      </c>
      <c r="U18" s="278">
        <f>IF(OR(BA20="",S18=""),"",S18*1000*T18/(SQRT(BA18)*BA20))</f>
        <v>113.83385398917511</v>
      </c>
      <c r="V18" s="678">
        <f>IF(AND(N(U18)=0,N(U19)=0,N(U20)=0,N(U21)=0),"",BA20/(SUM(U18:U21)))</f>
        <v>1.8447939048077007</v>
      </c>
      <c r="W18" s="680"/>
      <c r="X18" s="715" t="str">
        <f>誤差比較!E16</f>
        <v>600V CE-T</v>
      </c>
      <c r="Y18" s="716"/>
      <c r="Z18" s="717"/>
      <c r="AA18" s="721" t="str">
        <f>誤差比較!P16</f>
        <v>ケーブルラック</v>
      </c>
      <c r="AB18" s="723" t="str">
        <f>誤差比較!E17</f>
        <v>600V CE-3C</v>
      </c>
      <c r="AC18" s="716"/>
      <c r="AD18" s="717"/>
      <c r="AE18" s="708" t="str">
        <f>誤差比較!P17</f>
        <v>気中配管</v>
      </c>
      <c r="AF18" s="125">
        <f>IF(OR(AND(AF14="",N(BA16)=0,BA20&lt;&gt;0)),AX20/AQ19,"")</f>
        <v>206.51845932215682</v>
      </c>
      <c r="AG18" s="710">
        <f>IF(BA20=0,"",IF(AD20="",AX18,IF(AND(D18&lt;&gt;"",AU18=""),AX20*SQRT(AP20^2+AP21^2)/SQRT(AS18^2+AS19^2)/AQ19,AX18*SQRT(AP20^2+AP21^2)/SQRT(AS18^2+AS19^2))))</f>
        <v>200.85214838675751</v>
      </c>
      <c r="AH18" s="711"/>
      <c r="AI18" s="126">
        <f>IF(AG18="","",IF(N(U18)&lt;0,-AX18*AQ19/SQRT(AS18^2+AS19^2),AX18*AQ19/SQRT(AS18^2+AS19^2)))</f>
        <v>108.87511491842994</v>
      </c>
      <c r="AJ18" s="659"/>
      <c r="AK18" s="660"/>
      <c r="AL18" s="267"/>
      <c r="AM18" s="72"/>
      <c r="AN18" s="105" t="b">
        <f>IF(BA18="","",IF(AND(VALUE(BA18)=1,L18="油入自冷"),VLOOKUP(L20,変１,F20-48,FALSE),IF(AND(VALUE(BA18)=1,L18="モールド絶縁"),VLOOKUP(L20,変１,F20-43,FALSE))))</f>
        <v>0</v>
      </c>
      <c r="AO18" s="105">
        <f>IF(ISNA(VLOOKUP(L20,変ＵＳＥＲ,2,FALSE)),0,VLOOKUP(L20,変ＵＳＥＲ,2,FALSE))</f>
        <v>0</v>
      </c>
      <c r="AP18" s="106">
        <f>IF(N18="",0,N18*1000/BA20^2/SQRT(BA18))</f>
        <v>0</v>
      </c>
      <c r="AQ18" s="105">
        <f>IF(VALUE(BA18)=1,2,IF(VALUE(BA18)=3,SQRT(3),FALSE))</f>
        <v>1.7320508075688772</v>
      </c>
      <c r="AR18" s="107">
        <f>IF(X18="","",IF(X18="600V IV",VLOOKUP(X20,ＩＶ,2,FALSE),IF(OR(X18="600V CV-T",X18="600V CE-T"),VLOOKUP(X20,ＣＶＴ,2,FALSE),IF(OR(X18="600V CV-1C",X18="600V CV-2C",X18="600V CV-3C",X18="600V CV-4C",X18="600V CE-1C",X18="600V CE-2C",X18="600V CE-3C",X18="600V CE-4C"),VLOOKUP(X20,ＣＶ２３Ｃ,2,FALSE),VLOOKUP(X20,ＣＵＳＥＲ,2,FALSE)))))</f>
        <v>0.24</v>
      </c>
      <c r="AS18" s="105">
        <f>IF(AB21="",AP20,AP20+(AB21/1000))</f>
        <v>1.4149008850708038</v>
      </c>
      <c r="AT18" s="108">
        <f>IF(AU20="",AT20,AU20)</f>
        <v>0.83378686880918762</v>
      </c>
      <c r="AU18" s="108" t="str">
        <f>IF(D18="","",IF(AND(D22="",D26&lt;&gt;"",AV21=AV29),AT26,IF(AND(D22="",D26="",D30&lt;&gt;"",AV25=AV33),AT30,IF(AND(D22="",D26="",D30="",D34&lt;&gt;"",AV29=AV37),AT34,IF(AND(D22="",D26="",D30="",D34="",D38&lt;&gt;"",AV33=AV41),AT38,IF(AND(D22="",D26="",D30="",D34="",D38="",D42&lt;&gt;"",AV37=AV45),AT42,IF(AND(D22="",D26="",D30="",D34="",D38="",D42="",D46&lt;&gt;"",AV41=AV49),AT46,"")))))))</f>
        <v/>
      </c>
      <c r="AV18" s="108" t="str">
        <f>IF(L18="発電機",IF(ISNA(VLOOKUP(L20,ＡＣＧ,2,FALSE)),0,VLOOKUP(L20,ＡＣＧ,2,FALSE)),"")</f>
        <v/>
      </c>
      <c r="AW18" s="109">
        <f>IF(AT18="","",AT18/((AT18*AP18)^2+(AT19*AP18-1)^2))</f>
        <v>0.83378686880918762</v>
      </c>
      <c r="AX18" s="110">
        <f>IF(BA20=0,"",IF(OR(AX14="",AF18&lt;&gt;""),AF18*SQRT(AS20^2+AS21^2)/SQRT(AT20^2+AT21^2),AX14*SQRT(AS20^2+AS21^2)/SQRT(AT20^2+AT21^2)))</f>
        <v>202.33616277684965</v>
      </c>
      <c r="AY18" s="334">
        <f>IF(N(AY20)=10^30,10^30,IF(N(AY24)=10^30,(N(AY20)*(N(AY24)^2+N(AY25)^2)+N(AY24)*(N(AY20)^2+N(AY21)^2))/((N(AY20)+N(AY24))^2+(N(AY21)+N(AY25))^2),(N(AY20)*(N(AY22)^2+N(AY23)^2)+N(AY22)*(N(AY20)^2+N(AY21)^2))/((N(AY20)+N(AY22))^2+(N(AY21)+N(AY23))^2)))</f>
        <v>1.3214335226185236E-2</v>
      </c>
      <c r="AZ18" s="72"/>
      <c r="BA18" s="360" t="str">
        <f>IF(AND(F18="",SUM(S18:S21)&lt;&gt;0),BA14,F18)</f>
        <v>3</v>
      </c>
      <c r="BB18" s="285">
        <f t="shared" si="0"/>
        <v>0</v>
      </c>
      <c r="BC18" s="72"/>
      <c r="BD18" s="72"/>
    </row>
    <row r="19" spans="2:56" ht="15" customHeight="1" x14ac:dyDescent="0.15">
      <c r="B19" s="358" t="s">
        <v>227</v>
      </c>
      <c r="D19" s="648"/>
      <c r="E19" s="713"/>
      <c r="F19" s="654"/>
      <c r="G19" s="656"/>
      <c r="H19" s="658"/>
      <c r="I19" s="656"/>
      <c r="J19" s="658"/>
      <c r="K19" s="672"/>
      <c r="L19" s="726"/>
      <c r="M19" s="111">
        <f>IF(L18="発電機",SQRT(AV18^2+AV19^2),IF(L20="","",IF(OR(L18="油入自冷",L18="モールド絶縁"),IF(VALUE(BA18)=3,SQRT(AN20^2+AN21^2),IF(VALUE(BA18)=1,SQRT(AN18^2+AN19^2))),SQRT(AO18^2+AO19^2))))</f>
        <v>2.4536707195546841</v>
      </c>
      <c r="N19" s="676"/>
      <c r="O19" s="336"/>
      <c r="P19" s="337"/>
      <c r="Q19" s="338"/>
      <c r="R19" s="339"/>
      <c r="S19" s="279" t="str">
        <f>IF(R20="","",IF(Q20="",P20/R20,P20/(Q20*R20)))</f>
        <v/>
      </c>
      <c r="T19" s="361"/>
      <c r="U19" s="268" t="str">
        <f>IF(OR(BA20="",S19=""),"",S19*1000*T19/(SQRT(BA18)*BA20))</f>
        <v/>
      </c>
      <c r="V19" s="679"/>
      <c r="W19" s="681"/>
      <c r="X19" s="718"/>
      <c r="Y19" s="719"/>
      <c r="Z19" s="720"/>
      <c r="AA19" s="722"/>
      <c r="AB19" s="724"/>
      <c r="AC19" s="719"/>
      <c r="AD19" s="720"/>
      <c r="AE19" s="709"/>
      <c r="AF19" s="113">
        <f>IF(OR(AF18="",AG14&lt;&gt;""),"",AF18*AQ19/SQRT(AT18^2+AT19^2))</f>
        <v>186.18623284419758</v>
      </c>
      <c r="AG19" s="663">
        <f>IF(AG18="","",100*AG18*AQ19/BA20)</f>
        <v>95.643880184170243</v>
      </c>
      <c r="AH19" s="664"/>
      <c r="AI19" s="665">
        <f>IF(BA20=0,"",IF(AI14="",AX20/SQRT(AT18^2+AT19^2),IF(AI22="","",IF(AT18&lt;0,-AX18*AQ15/SQRT(AT18^2+AT19^2),AX18*AQ15/SQRT(AT18^2+AT19^2)))))</f>
        <v>186.18623284419758</v>
      </c>
      <c r="AJ19" s="661"/>
      <c r="AK19" s="662"/>
      <c r="AL19" s="269"/>
      <c r="AM19" s="72"/>
      <c r="AN19" s="105" t="b">
        <f>IF(BA18="","",IF(AND(VALUE(BA18)=1,L18="油入自冷"),VLOOKUP(L20,変１,F20-47,FALSE),IF(AND(VALUE(BA18)=1,L18="モールド絶縁"),VLOOKUP(L20,変１,F20-42,FALSE))))</f>
        <v>0</v>
      </c>
      <c r="AO19" s="105">
        <f>IF(ISNA(VLOOKUP(L20,変ＵＳＥＲ,3,FALSE)),0,VLOOKUP(L20,変ＵＳＥＲ,3,FALSE)*BA21/50)</f>
        <v>0</v>
      </c>
      <c r="AP19" s="106">
        <f>IF(W18="",0,W18*1000/BA20^2/SQRT(BA18))</f>
        <v>0</v>
      </c>
      <c r="AQ19" s="105">
        <f>IF(AND(VALUE(BA18)=1,VALUE(BA19)=2),1,IF(AND(VALUE(BA18)=3,VALUE(BA19)=3),1,IF(AND(VALUE(BA18)=1,VALUE(BA19)=3),2,IF(AND(VALUE(BA18)=3,VALUE(BA19)=4)*OR(VALUE(BB18)=1,VALUE(BB19)=1,VALUE(BB20)=1,VALUE(BB21)=1),1,SQRT(3)))))</f>
        <v>1</v>
      </c>
      <c r="AR19" s="107">
        <f>IF(X18="","",IF(X18="600V IV",VLOOKUP(X20,ＩＶ,3,FALSE),IF(OR(X18="600V CV-T",X18="600V CE-T"),VLOOKUP(X20,ＣＶＴ,3,FALSE),IF(OR(X18="600V CV-1C",X18="600V CV-2C",X18="600V CV-3C",X18="600V CV-4C",X18="600V CE-1C",X18="600V CE-2C",X18="600V CE-3C",X18="600V CE-4C"),VLOOKUP(X20,ＣＶ２３Ｃ,3,FALSE),VLOOKUP(X20,ＣＵＳＥＲ,3,FALSE)))))</f>
        <v>8.8300000000000003E-2</v>
      </c>
      <c r="AS19" s="105">
        <f>IF(AD21="",AP21,AP21+(AD21/1000))</f>
        <v>1.2049051769127426</v>
      </c>
      <c r="AT19" s="108">
        <f>IF(AU21="",AT21,AU21)</f>
        <v>0.73152738633696579</v>
      </c>
      <c r="AU19" s="108" t="str">
        <f>IF(D18="","",IF(AND(D22="",D26&lt;&gt;"",AV21=AV29),AT27,IF(AND(D22="",D26="",D30&lt;&gt;"",AV25=AV33),AT31,IF(AND(D22="",D26="",D30="",D34&lt;&gt;"",AV29=AV37),AT35,IF(AND(D22="",D26="",D30="",D34="",D38&lt;&gt;"",AV33=AV41),AT39,IF(AND(D22="",D26="",D30="",D34="",D38="",D42&lt;&gt;"",AV37=AV45),AT43,IF(AND(D22="",D26="",D30="",D34="",D38="",D42="",D46&lt;&gt;"",AV41=AV49),AT47,"")))))))</f>
        <v/>
      </c>
      <c r="AV19" s="107" t="str">
        <f>IF(L18="発電機",IF(ISNA(VLOOKUP(L20,ＡＣＧ,3,FALSE)),0,VLOOKUP(L20,ＡＣＧ,3,FALSE)*BA21/50),"")</f>
        <v/>
      </c>
      <c r="AW19" s="109">
        <f>IF(AT19="","",(AT19-AP18*(AT18^2+AT19^2))/((AT18*AP18)^2+(AP18*AT19-1)^2))</f>
        <v>0.73152738633696579</v>
      </c>
      <c r="AX19" s="110"/>
      <c r="AY19" s="334">
        <f>IF(N(AY21)=10^30,10^30,IF(N(AY25)=10^30,(N(AY21)*(N(AY24)^2+N(AY25)^2)+N(AY25)*(N(AY20)^2+N(AY21)^2))/((N(AY20)+N(AY24))^2+(N(AY21)+N(AY25))^2),(N(AY21)*(N(AY22)^2+N(AY23)^2)+N(AY23)*(N(AY20)^2+N(AY21)^2))/((N(AY20)+N(AY22))^2+(N(AY21)+N(AY23))^2)))</f>
        <v>1.3290718666799022E-2</v>
      </c>
      <c r="AZ19" s="72"/>
      <c r="BA19" s="335" t="str">
        <f>IF(AND(H18="",SUM(S18:S21)&lt;&gt;0),BA15,H18)</f>
        <v>3</v>
      </c>
      <c r="BB19" s="285">
        <f t="shared" si="0"/>
        <v>0</v>
      </c>
      <c r="BC19" s="72"/>
      <c r="BD19" s="72"/>
    </row>
    <row r="20" spans="2:56" ht="15" customHeight="1" x14ac:dyDescent="0.15">
      <c r="B20" s="358" t="s">
        <v>228</v>
      </c>
      <c r="D20" s="648"/>
      <c r="E20" s="713"/>
      <c r="F20" s="688">
        <f>誤差比較!N13</f>
        <v>50</v>
      </c>
      <c r="G20" s="688"/>
      <c r="H20" s="688"/>
      <c r="I20" s="688"/>
      <c r="J20" s="688"/>
      <c r="K20" s="689"/>
      <c r="L20" s="690">
        <f>誤差比較!E13</f>
        <v>100</v>
      </c>
      <c r="M20" s="691"/>
      <c r="N20" s="676"/>
      <c r="O20" s="336"/>
      <c r="P20" s="341"/>
      <c r="Q20" s="342"/>
      <c r="R20" s="339"/>
      <c r="S20" s="279" t="str">
        <f>IF(R21="","",IF(Q21="",P21/R21,P21/(Q21*R21)))</f>
        <v/>
      </c>
      <c r="T20" s="361"/>
      <c r="U20" s="114" t="str">
        <f>IF(OR(BA20="",S20=""),"",S20*1000*T20/(SQRT(BA18)*BA20))</f>
        <v/>
      </c>
      <c r="V20" s="115">
        <f>IF(AND(N(U18)=0,N(U19)=0,N(U20)=0,N(U21)=0),"",V18*(P18*R18*T18+P19*R19*T19+P20*R20*T20+P21*R21*T21)/(P18*T18+P19*T19+P20*T20+P21*T21))</f>
        <v>1.3998296149680833</v>
      </c>
      <c r="W20" s="692">
        <f>IF(AND(N(AP20)=0,N(AP21)=0,N(AP19)=0),"",IF(AP21&gt;=0,COS(ATAN(AP21/AP20)),-COS(ATAN(AP21/AP20))))</f>
        <v>0.75880000000000003</v>
      </c>
      <c r="X20" s="343">
        <f>誤差比較!H16</f>
        <v>100</v>
      </c>
      <c r="Y20" s="344">
        <f>誤差比較!N16</f>
        <v>1</v>
      </c>
      <c r="Z20" s="345">
        <f>誤差比較!K16</f>
        <v>60</v>
      </c>
      <c r="AA20" s="346"/>
      <c r="AB20" s="347">
        <f>誤差比較!H17</f>
        <v>60</v>
      </c>
      <c r="AC20" s="344">
        <f>誤差比較!N17</f>
        <v>1</v>
      </c>
      <c r="AD20" s="345">
        <f>誤差比較!K17</f>
        <v>25</v>
      </c>
      <c r="AE20" s="348"/>
      <c r="AF20" s="116">
        <f>IF(OR(AF18="",AG14&lt;&gt;""),"",BA20/SQRT(AW20^2+AW21^2))</f>
        <v>186.18623284419755</v>
      </c>
      <c r="AG20" s="663">
        <f>IF(AG18="","",100*((BA20/AQ19)-AG18)/(BA20/AQ19))</f>
        <v>4.3561198158297589</v>
      </c>
      <c r="AH20" s="664"/>
      <c r="AI20" s="666"/>
      <c r="AJ20" s="667"/>
      <c r="AK20" s="669"/>
      <c r="AL20" s="284" t="str">
        <f>"変圧器負荷率："&amp;INT(100*(S18*T18+S22*T22))/L20&amp;" ％"</f>
        <v>変圧器負荷率：70.72 ％</v>
      </c>
      <c r="AM20" s="286">
        <f>INT(10000*(S18*T18+S22*T22)/L20)/100</f>
        <v>70.72</v>
      </c>
      <c r="AN20" s="117">
        <f>IF(BA18="","",IF(AND(VALUE(BA18)=3,L18="油入自冷"),VLOOKUP(L20,変３,F20-48,FALSE),IF(AND(VALUE(BA18)=3,L18="モールド絶縁"),VLOOKUP(L20,変３,F20-43,FALSE))))</f>
        <v>1.73</v>
      </c>
      <c r="AO20" s="107">
        <f>IF(AND(L14="",N(AY18)&lt;10^29),AY18,"")</f>
        <v>1.3214335226185236E-2</v>
      </c>
      <c r="AP20" s="118">
        <f>IF(V18="","",IF(AND(N(V20)=0,N(AP19)=0),"",AQ20/((AQ20*AP19)^2+(AP19*AQ21-1)^2)))</f>
        <v>1.3998296149680833</v>
      </c>
      <c r="AQ20" s="105">
        <f>IF(N(V20)=0,10^30,V20)</f>
        <v>1.3998296149680833</v>
      </c>
      <c r="AR20" s="107">
        <f>IF(AB18="","",IF(AB18="600V IV",VLOOKUP(AB20,ＩＶ,2,FALSE),IF(OR(AB18="600V CV-T",AB18="600V E-T"),VLOOKUP(AB20,ＣＶＴ,2,FALSE),IF(OR(AB18="600V CV-1C",AB18="600V CV-2C",AB18="600V CV-3C",AB18="600V CV-4C",AB18="600V CE-1C",AB18="600V CE-2C",AB18="600V CE-3C",AB18="600V CE-4C"),VLOOKUP(AB20,ＣＶ２３Ｃ,2,FALSE),VLOOKUP(AB20,ＣＵＳＥＲ,2,FALSE)))))</f>
        <v>0.39700000000000002</v>
      </c>
      <c r="AS20" s="105">
        <f>IF(OR(AND(AS22="",AS23=""),AND(D18="",D22&lt;&gt;"")),AS18,(AS18*(AT22^2+AT23^2)+AT22*(AS18^2+AS19^2))/((AS18+AT22)^2+(AS19+AT23)^2))</f>
        <v>0.81192024014629849</v>
      </c>
      <c r="AT20" s="108">
        <f>IF(X21="",AS20,N(AS20)+(X21/1000))</f>
        <v>0.83378686880918762</v>
      </c>
      <c r="AU20" s="108" t="str">
        <f>IF(AU18="","",(AT20*(AU18^2+AU19^2)+AU18*(AT20^2+AT21^2))/((AT20+AU18)^2+(AT21+AU19)^2))</f>
        <v/>
      </c>
      <c r="AV20" s="108">
        <f>IF(BA20=0,1,0)</f>
        <v>0</v>
      </c>
      <c r="AW20" s="109">
        <f>IF(AO20="","",AW18+AO20)</f>
        <v>0.84700120403537282</v>
      </c>
      <c r="AX20" s="110">
        <f>IF(AND(AX16="",AW20&lt;&gt;""),BA20*SQRT(AW18^2+AW19^2)/SQRT(AW20^2+AW21^2),IF(BA20&lt;&gt;0,AX16,""))</f>
        <v>206.51845932215682</v>
      </c>
      <c r="AY20" s="350">
        <f>IF(L20="",10^30,SQRT(BA18)*(BA20^2)*(N(AN18)+N(AN20)+N(AO18)+N(AV18))/(100000*L20*M18))</f>
        <v>1.3214335226185236E-2</v>
      </c>
      <c r="AZ20" s="351"/>
      <c r="BA20" s="335">
        <f>IF(AND(J18="",SUM(S18:S21)&lt;&gt;0),BA16,J18)</f>
        <v>210</v>
      </c>
      <c r="BB20" s="285">
        <f t="shared" si="0"/>
        <v>0</v>
      </c>
      <c r="BC20" s="72"/>
      <c r="BD20" s="72"/>
    </row>
    <row r="21" spans="2:56" ht="15" customHeight="1" x14ac:dyDescent="0.15">
      <c r="B21" s="358" t="s">
        <v>229</v>
      </c>
      <c r="D21" s="649"/>
      <c r="E21" s="714"/>
      <c r="F21" s="694">
        <f>誤差比較!Z14</f>
        <v>50</v>
      </c>
      <c r="G21" s="694"/>
      <c r="H21" s="694"/>
      <c r="I21" s="694"/>
      <c r="J21" s="694"/>
      <c r="K21" s="695"/>
      <c r="L21" s="696">
        <f>IF(M18="","",L20*1000*M18/(SQRT(BA18)*BA20))</f>
        <v>274.92869961410753</v>
      </c>
      <c r="M21" s="697"/>
      <c r="N21" s="677"/>
      <c r="O21" s="352"/>
      <c r="P21" s="353"/>
      <c r="Q21" s="354"/>
      <c r="R21" s="355"/>
      <c r="S21" s="280" t="str">
        <f>IF(R21="","",IF(Q21="",P21/R21,P21/(Q21*R21)))</f>
        <v/>
      </c>
      <c r="T21" s="362"/>
      <c r="U21" s="120" t="str">
        <f>IF(OR(BA20="",S21=""),"",S21*1000*T21/(SQRT(BA18)*BA20))</f>
        <v/>
      </c>
      <c r="V21" s="121">
        <f>IF(AND(N(U18)=0,N(U19)=0,N(U20)=0,N(U21)=0),"",IF(V18&gt;=0,SQRT(ABS(V18^2-V20^2)),-SQRT(V18^2-V20^2)))</f>
        <v>1.2015579887271157</v>
      </c>
      <c r="W21" s="693"/>
      <c r="X21" s="698">
        <f>IF(Y20="","",AQ18*Z20*AR18*((1+0.00393*(F21-20))/1.2751)/Y20)</f>
        <v>21.866628662889163</v>
      </c>
      <c r="Y21" s="699"/>
      <c r="Z21" s="700">
        <f>IF(Y20="","",(BA21/50)*AQ18*Z20*AR19/Y20)</f>
        <v>9.1764051784999108</v>
      </c>
      <c r="AA21" s="701"/>
      <c r="AB21" s="702">
        <f>IF(AC20="","",AQ18*AD20*AR20*((1+0.00393*(F21-20))/1.2751)/AC20)</f>
        <v>15.071270102720483</v>
      </c>
      <c r="AC21" s="699"/>
      <c r="AD21" s="700">
        <f>IF(AC20="","",(BA21/50)*AQ18*AD20*AR21/AC20)</f>
        <v>3.3471881856268548</v>
      </c>
      <c r="AE21" s="703"/>
      <c r="AF21" s="122">
        <f>IF(AND(AX18&lt;&gt;"",D18=""),AX18,"")</f>
        <v>202.33616277684965</v>
      </c>
      <c r="AG21" s="698">
        <f>IF(AP20="","",AP20)</f>
        <v>1.3998296149680833</v>
      </c>
      <c r="AH21" s="699"/>
      <c r="AI21" s="123">
        <f>IF(AP21="","",AP21)</f>
        <v>1.2015579887271157</v>
      </c>
      <c r="AJ21" s="668"/>
      <c r="AK21" s="670"/>
      <c r="AL21" s="363" t="str">
        <f>IF(VALUE(F18)=1,"変圧器電圧変動率："&amp;(INT(1000000*(J18-AF18*2)/J18))/10000&amp;" ％","変圧器電圧変動率："&amp;(INT(1000000*(J18-AF18)/J18))/10000&amp;" ％")</f>
        <v>変圧器電圧変動率：1.6578 ％</v>
      </c>
      <c r="AM21" s="286">
        <f>IF(VALUE(F18)=1,INT(10000*(J18-AF18*2)/J18)/100,INT(10000*(J18-AF18)/J18)/100)</f>
        <v>1.65</v>
      </c>
      <c r="AN21" s="270">
        <f>IF(BA18="","",IF(AND(VALUE(BA18)=3,L18="油入自冷"),VLOOKUP(L20,変３,F20-47,FALSE),IF(AND(VALUE(BA18)=3,L18="モールド絶縁"),VLOOKUP(L20,変３,F20-42,FALSE))))</f>
        <v>1.74</v>
      </c>
      <c r="AO21" s="270">
        <f>IF(AND(L14="",N(AY19)&lt;10^29),AY19,"")</f>
        <v>1.3290718666799022E-2</v>
      </c>
      <c r="AP21" s="271">
        <f>IF(V18="","",IF(AND(N(V21)=0,N(AP19)=0),0,(AQ21-AP19*(AQ20^2+AQ21^2))/((AQ20*AP19)^2+(AP19*AQ21-1)^2)))</f>
        <v>1.2015579887271157</v>
      </c>
      <c r="AQ21" s="272">
        <f>IF(N(V21)=0,10^30,V21)</f>
        <v>1.2015579887271157</v>
      </c>
      <c r="AR21" s="270">
        <f>IF(AB18="","",IF(AB18="600V IV",VLOOKUP(AB20,ＩＶ,3,FALSE),IF(OR(AB18="600V CV-T",AB18="600V CE-T"),VLOOKUP(AB20,ＣＶＴ,3,FALSE),IF(OR(AB18="600V CV-1C",AB18="600V CV-2C",AB18="600V CV-3C",AB18="600V CV-4C",AB18="600V CE-1C",AB18="600V CE-2C",AB18="600V CE-3C",AB18="600V CE-4C"),VLOOKUP(AB20,ＣＶ２３Ｃ,3,FALSE),VLOOKUP(AB20,ＣＵＳＥＲ,3,FALSE)))))</f>
        <v>7.7299999999999994E-2</v>
      </c>
      <c r="AS21" s="272">
        <f>IF(OR(AND(AS22="",AS23=""),AND(D18="",D22&lt;&gt;"")),AS19,(AS19*(AT22^2+AT23^2)+AT23*(AS18^2+AS19^2))/((AS18+AT22)^2+(AS19+AT23)^2))</f>
        <v>0.72235098115846585</v>
      </c>
      <c r="AT21" s="273">
        <f>IF(Z21="",AS21,N(AS21)+(Z21/1000))</f>
        <v>0.73152738633696579</v>
      </c>
      <c r="AU21" s="273" t="str">
        <f>IF(AU19="","",(AT21*(AU18^2+AU19^2)+AU19*(AT20^2+AT21^2))/((AT20+AU18)^2+(AT21+AU19)^2))</f>
        <v/>
      </c>
      <c r="AV21" s="273">
        <f>AV17+AV20</f>
        <v>1</v>
      </c>
      <c r="AW21" s="272">
        <f>IF(AO21="","",AW19+AO21)</f>
        <v>0.74481810500376477</v>
      </c>
      <c r="AX21" s="274"/>
      <c r="AY21" s="350">
        <f>IF(L20="",10^30,SQRT(BA18)*(BA20^2)*(N(AN19)+N(AN21)+N(AO19)+N(AV19))/(100000*L20*M18))</f>
        <v>1.3290718666799022E-2</v>
      </c>
      <c r="AZ21" s="351"/>
      <c r="BA21" s="335">
        <f>IF(AND(F20="",SUM(S18:S21)&lt;&gt;0),BA17,F20)</f>
        <v>50</v>
      </c>
      <c r="BB21" s="285">
        <f t="shared" si="0"/>
        <v>0</v>
      </c>
      <c r="BC21" s="72"/>
      <c r="BD21" s="72"/>
    </row>
    <row r="22" spans="2:56" ht="15" customHeight="1" x14ac:dyDescent="0.15">
      <c r="B22" s="358" t="s">
        <v>230</v>
      </c>
      <c r="D22" s="647"/>
      <c r="E22" s="727"/>
      <c r="F22" s="653"/>
      <c r="G22" s="655" t="str">
        <f>IF(F22="","","φ")</f>
        <v/>
      </c>
      <c r="H22" s="657"/>
      <c r="I22" s="655" t="str">
        <f>IF(H22="","","W")</f>
        <v/>
      </c>
      <c r="J22" s="657"/>
      <c r="K22" s="671" t="str">
        <f>IF(J22="","","V")</f>
        <v/>
      </c>
      <c r="L22" s="673"/>
      <c r="M22" s="124"/>
      <c r="N22" s="730"/>
      <c r="O22" s="329" t="str">
        <f>誤差比較!S18</f>
        <v>動力盤-2</v>
      </c>
      <c r="P22" s="332">
        <f>誤差比較!U18*誤差比較!X18</f>
        <v>18.5</v>
      </c>
      <c r="Q22" s="331">
        <f>誤差比較!Z18</f>
        <v>0.87029999999999996</v>
      </c>
      <c r="R22" s="332">
        <f>誤差比較!AC18</f>
        <v>0.72489999999999999</v>
      </c>
      <c r="S22" s="265">
        <f t="shared" ref="S22:S54" si="1">IF(R22="","",IF(Q22="",P22/R22,P22/(Q22*R22)))</f>
        <v>29.324096845159911</v>
      </c>
      <c r="T22" s="359">
        <f>誤差比較!AI18</f>
        <v>1</v>
      </c>
      <c r="U22" s="266">
        <f>IF(OR(BA24="",S22=""),"",S22*1000*T22/(SQRT(BA22)*BA24))</f>
        <v>80.620358129979678</v>
      </c>
      <c r="V22" s="678">
        <f>IF(AND(N(U22)=0,N(U23)=0,N(U24)=0,N(U25)=0),"",BA24/(SUM(U22:U25)))</f>
        <v>2.6048011305212611</v>
      </c>
      <c r="W22" s="680"/>
      <c r="X22" s="715"/>
      <c r="Y22" s="716"/>
      <c r="Z22" s="717"/>
      <c r="AA22" s="721"/>
      <c r="AB22" s="723" t="str">
        <f>誤差比較!E18</f>
        <v>600V CE-3C</v>
      </c>
      <c r="AC22" s="716"/>
      <c r="AD22" s="717"/>
      <c r="AE22" s="708" t="str">
        <f>誤差比較!P18</f>
        <v>気中配管</v>
      </c>
      <c r="AF22" s="125" t="str">
        <f>IF(OR(AND(AF18="",N(BA20)=0,BA24&lt;&gt;0),D22&lt;&gt;""),AX24/AQ23,"")</f>
        <v/>
      </c>
      <c r="AG22" s="710">
        <f>IF(BA24=0,"",IF(AD24="",AX22,IF(AND(D22&lt;&gt;"",AU22=""),AX24*SQRT(AP24^2+AP25^2)/SQRT(AS22^2+AS23^2)/AQ23,AX22*SQRT(AP24^2+AP25^2)/SQRT(AS22^2+AS23^2))))</f>
        <v>201.5404235521365</v>
      </c>
      <c r="AH22" s="711"/>
      <c r="AI22" s="126">
        <f>IF(AG22="","",IF(N(U22)&lt;0,-AX22*AQ23/SQRT(AS22^2+AS23^2),AX22*AQ23/SQRT(AS22^2+AS23^2)))</f>
        <v>77.372672021147778</v>
      </c>
      <c r="AJ22" s="659"/>
      <c r="AK22" s="660"/>
      <c r="AL22" s="267"/>
      <c r="AM22" s="72"/>
      <c r="AN22" s="105" t="b">
        <f>IF(BA22="","",IF(AND(VALUE(BA22)=1,L22="油入自冷"),VLOOKUP(L24,変１,F24-48,FALSE),IF(AND(VALUE(BA22)=1,L22="モールド絶縁"),VLOOKUP(L24,変１,F24-43,FALSE))))</f>
        <v>0</v>
      </c>
      <c r="AO22" s="105">
        <f>IF(ISNA(VLOOKUP(L24,変ＵＳＥＲ,2,FALSE)),0,VLOOKUP(L24,変ＵＳＥＲ,2,FALSE))</f>
        <v>0</v>
      </c>
      <c r="AP22" s="106">
        <f>IF(N22="",0,N22*1000/BA24^2/SQRT(BA22))</f>
        <v>0</v>
      </c>
      <c r="AQ22" s="105">
        <f>IF(VALUE(BA22)=1,2,IF(VALUE(BA22)=3,SQRT(3),FALSE))</f>
        <v>1.7320508075688772</v>
      </c>
      <c r="AR22" s="107" t="str">
        <f>IF(X22="","",IF(X22="600V IV",VLOOKUP(X24,ＩＶ,2,FALSE),IF(OR(X22="600V CV-T",AB22="600V CE-T"),VLOOKUP(X24,ＣＶＴ,2,FALSE),IF(OR(X22="600V CV-1C",X22="600V CV-2C",X22="600V CV-3C",X22="600V CV-4C",AB22="600V CE-1C",AB22="600V CE-2C",AB22="600V CE-3C",AB22="600V CE-4C"),VLOOKUP(X24,ＣＶ２３Ｃ,2,FALSE),VLOOKUP(X24,ＣＵＳＥＲ,2,FALSE)))))</f>
        <v/>
      </c>
      <c r="AS22" s="105">
        <f>IF(AB25="",AP24,AP24+(AB25/1000))</f>
        <v>1.8998534887645582</v>
      </c>
      <c r="AT22" s="108">
        <f>IF(AU24="",AT24,AU24)</f>
        <v>1.8998534887645582</v>
      </c>
      <c r="AU22" s="108" t="str">
        <f>IF(D22="","",IF(AND(D26="",D30&lt;&gt;"",AV25=AV33),AT30,IF(AND(D26="",D30="",D34&lt;&gt;"",AV29=AV37),AT34,IF(AND(D26="",D30="",D34="",D38&lt;&gt;"",AV33=AV41),AT38,IF(AND(D26="",D30="",D34="",D38="",D42&lt;&gt;"",AV37=AV45),AT42,IF(AND(D26="",D30="",D34="",D38="",D42="",D46&lt;&gt;"",AV41=AV49),AT46,IF(AND(D26="",D30="",D34="",D38="",D42="",D46="",D50&lt;&gt;"",AV45=AV53),AT50,"")))))))</f>
        <v/>
      </c>
      <c r="AV22" s="108" t="str">
        <f>IF(L22="発電機",IF(ISNA(VLOOKUP(L24,ＡＣＧ,2,FALSE)),0,VLOOKUP(L24,ＡＣＧ,2,FALSE)),"")</f>
        <v/>
      </c>
      <c r="AW22" s="109">
        <f>IF(AT22="","",AT22/((AT22*AP22)^2+(AT23*AP22-1)^2))</f>
        <v>1.8998534887645582</v>
      </c>
      <c r="AX22" s="110">
        <f>IF(BA24=0,"",IF(OR(AX18="",AF22&lt;&gt;""),AF22*SQRT(AS24^2+AS25^2)/SQRT(AT24^2+AT25^2),AX18*SQRT(AS24^2+AS25^2)/SQRT(AT24^2+AT25^2)))</f>
        <v>202.33616277684965</v>
      </c>
      <c r="AY22" s="334">
        <f>IF(N(AY24)=10^30,10^30,IF(N(AY28)=10^30,(N(AY24)*(N(AY28)^2+N(AY29)^2)+N(AY28)*(N(AY24)^2+N(AY25)^2))/((N(AY24)+N(AY28))^2+(N(AY25)+N(AY29))^2),(N(AY24)*(N(AY26)^2+N(AY27)^2)+N(AY26)*(N(AY24)^2+N(AY25)^2))/((N(AY24)+N(AY26))^2+(N(AY25)+N(AY27))^2)))</f>
        <v>1E+30</v>
      </c>
      <c r="AZ22" s="72"/>
      <c r="BA22" s="335" t="str">
        <f>IF(AND(F22="",SUM(S22:S25)&lt;&gt;0),BA18,F22)</f>
        <v>3</v>
      </c>
      <c r="BB22" s="285">
        <f t="shared" si="0"/>
        <v>0</v>
      </c>
      <c r="BC22" s="72"/>
      <c r="BD22" s="72"/>
    </row>
    <row r="23" spans="2:56" ht="15" customHeight="1" x14ac:dyDescent="0.15">
      <c r="B23" s="358" t="s">
        <v>231</v>
      </c>
      <c r="D23" s="648"/>
      <c r="E23" s="728"/>
      <c r="F23" s="654"/>
      <c r="G23" s="656"/>
      <c r="H23" s="658"/>
      <c r="I23" s="656"/>
      <c r="J23" s="658"/>
      <c r="K23" s="672"/>
      <c r="L23" s="674"/>
      <c r="M23" s="111" t="str">
        <f>IF(L22="発電機",SQRT(AV22^2+AV23^2),IF(L24="","",IF(OR(L22="油入自冷",L22="モ－ルド絶縁"),IF(VALUE(BA22)=1,SQRT(AN22^2+AN23^2),IF(VALUE(BA22)=3,SQRT(AN24^2+AN25^2))),SQRT(AO22^2+AO23^2))))</f>
        <v/>
      </c>
      <c r="N23" s="731"/>
      <c r="O23" s="336"/>
      <c r="P23" s="364"/>
      <c r="Q23" s="338"/>
      <c r="R23" s="339"/>
      <c r="S23" s="112" t="str">
        <f t="shared" si="1"/>
        <v/>
      </c>
      <c r="T23" s="340"/>
      <c r="U23" s="268" t="str">
        <f>IF(OR(BA24="",S23=""),"",S23*1000*T23/(SQRT(BA22)*BA24))</f>
        <v/>
      </c>
      <c r="V23" s="679"/>
      <c r="W23" s="681"/>
      <c r="X23" s="718"/>
      <c r="Y23" s="719"/>
      <c r="Z23" s="720"/>
      <c r="AA23" s="722"/>
      <c r="AB23" s="724"/>
      <c r="AC23" s="719"/>
      <c r="AD23" s="720"/>
      <c r="AE23" s="709"/>
      <c r="AF23" s="113" t="str">
        <f>IF(OR(AF22="",AG18&lt;&gt;""),"",AF22*AQ23/SQRT(AT22^2+AT23^2))</f>
        <v/>
      </c>
      <c r="AG23" s="663">
        <f>IF(AG22="","",100*AG22*AQ23/BA24)</f>
        <v>95.971630262922133</v>
      </c>
      <c r="AH23" s="664"/>
      <c r="AI23" s="665" t="str">
        <f>IF(BA24=0,"",IF(AI18="",AX24/SQRT(AT22^2+AT23^2),IF(AI26="","",IF(AT22&lt;0,-AX22*AQ19/SQRT(AT22^2+AT23^2),AX22*AQ19/SQRT(AT22^2+AT23^2)))))</f>
        <v/>
      </c>
      <c r="AJ23" s="661"/>
      <c r="AK23" s="662"/>
      <c r="AL23" s="269"/>
      <c r="AM23" s="72"/>
      <c r="AN23" s="105" t="b">
        <f>IF(BA22="","",IF(AND(VALUE(BA22)=1,L22="油入自冷"),VLOOKUP(L24,変１,F24-47,FALSE),IF(AND(VALUE(BA22)=1,L22="モールド絶縁"),VLOOKUP(L24,変１,F24-42,FALSE))))</f>
        <v>0</v>
      </c>
      <c r="AO23" s="105">
        <f>IF(ISNA(VLOOKUP(L24,変ＵＳＥＲ,3,FALSE)),0,VLOOKUP(L24,変ＵＳＥＲ,3,FALSE)*BA25/50)</f>
        <v>0</v>
      </c>
      <c r="AP23" s="106">
        <f>IF(W22="",0,W22*1000/BA24^2/SQRT(BA22))</f>
        <v>0</v>
      </c>
      <c r="AQ23" s="105">
        <f>IF(AND(VALUE(BA22)=1,VALUE(BA23)=2),1,IF(AND(VALUE(BA22)=3,VALUE(BA23)=3),1,IF(AND(VALUE(BA22)=1,VALUE(BA23)=3),2,IF(AND(VALUE(BA22)=3,VALUE(BA23)=4)*OR(VALUE(BB22)=1,VALUE(BB23)=1,VALUE(BB24)=1,VALUE(BB25)=1),1,SQRT(3)))))</f>
        <v>1</v>
      </c>
      <c r="AR23" s="107" t="str">
        <f>IF(X22="","",IF(X22="600V IV",VLOOKUP(X24,ＩＶ,3,FALSE),IF(OR(X22="600V CV-T",AB22="600V CE-T"),VLOOKUP(X24,ＣＶＴ,3,FALSE),IF(OR(X22="600V CV-1C",X22="600V CV-2C",X22="600V CV-3C",X22="600V CV-4C",AB22="600V CE-1C",AB22="600V CE-2C",AB22="600V CE-3C",AB22="600V CE-4C"),VLOOKUP(X24,ＣＶ２３Ｃ,3,FALSE),VLOOKUP(X24,ＣＵＳＥＲ,3,FALSE)))))</f>
        <v/>
      </c>
      <c r="AS23" s="105">
        <f>IF(AD25="",AP25,AP25+(AD25/1000))</f>
        <v>1.7970057247514393</v>
      </c>
      <c r="AT23" s="108">
        <f>IF(AU25="",AT25,AU25)</f>
        <v>1.7970057247514393</v>
      </c>
      <c r="AU23" s="108" t="str">
        <f>IF(D22="","",IF(AND(D26="",D30&lt;&gt;"",AV25=AV33),AT31,IF(AND(D26="",D30="",D34&lt;&gt;"",AV29=AV37),AT35,IF(AND(D26="",D30="",D34="",D38&lt;&gt;"",AV33=AV41),AT39,IF(AND(D26="",D30="",D34="",D38="",D42&lt;&gt;"",AV37=AV45),AT43,IF(AND(D26="",D30="",D34="",D38="",D42="",D46&lt;&gt;"",AV41=AV49),AT47,IF(AND(D26="",D30="",D34="",D38="",D42="",D46="",D50&lt;&gt;"",AV45=AV53),AT51,"")))))))</f>
        <v/>
      </c>
      <c r="AV23" s="107" t="str">
        <f>IF(L22="発電機",IF(ISNA(VLOOKUP(L24,ＡＣＧ,3,FALSE)),0,VLOOKUP(L24,ＡＣＧ,3,FALSE)*BA25/50),"")</f>
        <v/>
      </c>
      <c r="AW23" s="109">
        <f>IF(AT23="","",(AT23-AP22*(AT22^2+AT23^2))/((AT22*AP22)^2+(AP22*AT23-1)^2))</f>
        <v>1.7970057247514393</v>
      </c>
      <c r="AX23" s="110"/>
      <c r="AY23" s="334">
        <f>IF(N(AY25)=10^30,10^30,IF(N(AY29)=10^30,(N(AY25)*(N(AY28)^2+N(AY29)^2)+N(AY29)*(N(AY24)^2+N(AY25)^2))/((N(AY24)+N(AY28))^2+(N(AY25)+N(AY29))^2),(N(AY25)*(N(AY26)^2+N(AY27)^2)+N(AY27)*(N(AY24)^2+N(AY25)^2))/((N(AY24)+N(AY26))^2+(N(AY25)+N(AY27))^2)))</f>
        <v>1E+30</v>
      </c>
      <c r="AZ23" s="72"/>
      <c r="BA23" s="335" t="str">
        <f>IF(AND(H22="",SUM(S22:S25)&lt;&gt;0),BA19,H22)</f>
        <v>3</v>
      </c>
      <c r="BB23" s="285">
        <f t="shared" si="0"/>
        <v>0</v>
      </c>
      <c r="BC23" s="72"/>
      <c r="BD23" s="72"/>
    </row>
    <row r="24" spans="2:56" ht="15" customHeight="1" x14ac:dyDescent="0.15">
      <c r="B24" s="358" t="s">
        <v>232</v>
      </c>
      <c r="D24" s="648"/>
      <c r="E24" s="728"/>
      <c r="F24" s="688"/>
      <c r="G24" s="688"/>
      <c r="H24" s="688"/>
      <c r="I24" s="688"/>
      <c r="J24" s="688"/>
      <c r="K24" s="689"/>
      <c r="L24" s="690"/>
      <c r="M24" s="691"/>
      <c r="N24" s="731"/>
      <c r="O24" s="336"/>
      <c r="P24" s="339"/>
      <c r="Q24" s="342"/>
      <c r="R24" s="339"/>
      <c r="S24" s="112" t="str">
        <f t="shared" si="1"/>
        <v/>
      </c>
      <c r="T24" s="340"/>
      <c r="U24" s="114" t="str">
        <f>IF(OR(BA24="",S24=""),"",S24*1000*T24/(SQRT(BA22)*BA24))</f>
        <v/>
      </c>
      <c r="V24" s="115">
        <f>IF(AND(N(U22)=0,N(U23)=0,N(U24)=0,N(U25)=0),"",V22*(P22*R22*T22+P23*R23*T23+P24*R24*T24+P25*R25*T25)/(P22*T22+P23*T23+P24*T24+P25*T25))</f>
        <v>1.888220339514862</v>
      </c>
      <c r="W24" s="692">
        <f>IF(AND(N(AP24)=0,N(AP25)=0,N(AP23)=0),"",IF(AP25&gt;=0,COS(ATAN(AP25/AP24)),-COS(ATAN(AP25/AP24))))</f>
        <v>0.72489999999999999</v>
      </c>
      <c r="X24" s="343"/>
      <c r="Y24" s="344"/>
      <c r="Z24" s="345"/>
      <c r="AA24" s="346"/>
      <c r="AB24" s="347">
        <f>誤差比較!H18</f>
        <v>60</v>
      </c>
      <c r="AC24" s="344">
        <f>誤差比較!N18</f>
        <v>1</v>
      </c>
      <c r="AD24" s="345">
        <f>誤差比較!K18</f>
        <v>20</v>
      </c>
      <c r="AE24" s="348"/>
      <c r="AF24" s="116" t="str">
        <f>IF(OR(AF22="",AG18&lt;&gt;""),"",BA24/SQRT(AW24^2+AW25^2))</f>
        <v/>
      </c>
      <c r="AG24" s="663">
        <f>IF(AG22="","",100*((BA24/AQ23)-AG22)/(BA24/AQ23))</f>
        <v>4.0283697370778562</v>
      </c>
      <c r="AH24" s="664"/>
      <c r="AI24" s="666"/>
      <c r="AJ24" s="667"/>
      <c r="AK24" s="669"/>
      <c r="AL24" s="349"/>
      <c r="AM24" s="72"/>
      <c r="AN24" s="117" t="b">
        <f>IF(BA22="","",IF(AND(VALUE(BA22)=3,L22="油入自冷"),VLOOKUP(L24,変３,F24-48,FALSE),IF(AND(VALUE(BA22)=3,L22="モールド絶縁"),VLOOKUP(L24,変３,F24-43,FALSE))))</f>
        <v>0</v>
      </c>
      <c r="AO24" s="107" t="str">
        <f>IF(AND(L18="",N(AY22)&lt;10^29),AY22,"")</f>
        <v/>
      </c>
      <c r="AP24" s="118">
        <f>IF(V22="","",IF(AND(N(V24)=0,N(AP23)=0),"",AQ24/((AQ24*AP23)^2+(AP23*AQ25-1)^2)))</f>
        <v>1.888220339514862</v>
      </c>
      <c r="AQ24" s="105">
        <f>IF(N(V24)=0,10^30,V24)</f>
        <v>1.888220339514862</v>
      </c>
      <c r="AR24" s="107">
        <f>IF(AB22="","",IF(AB22="600V IV",VLOOKUP(AB24,ＩＶ,2,FALSE),IF(OR(AB22="600V CV-T",AB22="600V E-T"),VLOOKUP(AB24,ＣＶＴ,2,FALSE),IF(OR(AB22="600V CV-1C",AB22="600V CV-2C",AB22="600V CV-3C",AB22="600V CV-4C",AB22="600V CE-1C",AB22="600V CE-2C",AB22="600V CE-3C",AB22="600V CE-4C"),VLOOKUP(AB24,ＣＶ２３Ｃ,2,FALSE),VLOOKUP(AB24,ＣＵＳＥＲ,2,FALSE)))))</f>
        <v>0.39700000000000002</v>
      </c>
      <c r="AS24" s="105">
        <f>IF(OR(AND(AS26="",AS27=""),AND(D22="",D26&lt;&gt;"")),AS22,(AS22*(AT26^2+AT27^2)+AT26*(AS22^2+AS23^2))/((AS22+AT26)^2+(AS23+AT27)^2))</f>
        <v>1.8998534887645582</v>
      </c>
      <c r="AT24" s="108">
        <f>IF(X25="",AS24,N(AS24)+(X25/1000))</f>
        <v>1.8998534887645582</v>
      </c>
      <c r="AU24" s="108" t="str">
        <f>IF(AU22="","",(AT24*(AU22^2+AU23^2)+AU22*(AT24^2+AT25^2))/((AT24+AU22)^2+(AT25+AU23)^2))</f>
        <v/>
      </c>
      <c r="AV24" s="108">
        <f>IF(BA24=0,1,0)</f>
        <v>0</v>
      </c>
      <c r="AW24" s="109" t="str">
        <f>IF(AO24="","",AW22+AO24)</f>
        <v/>
      </c>
      <c r="AX24" s="110">
        <f>IF(AND(AX20="",AW24&lt;&gt;""),BA24*SQRT(AW22^2+AW23^2)/SQRT(AW24^2+AW25^2),IF(BA24&lt;&gt;0,AX20,""))</f>
        <v>206.51845932215682</v>
      </c>
      <c r="AY24" s="350">
        <f>IF(L24="",10^30,SQRT(BA22)*(BA24^2)*(N(AN22)+N(AN24)+N(AO22)+N(AV22))/(100000*L24*M22))</f>
        <v>1E+30</v>
      </c>
      <c r="AZ24" s="351"/>
      <c r="BA24" s="335">
        <f>IF(AND(J22="",SUM(S22:S25)&lt;&gt;0),BA20,J22)</f>
        <v>210</v>
      </c>
      <c r="BB24" s="285">
        <f t="shared" si="0"/>
        <v>0</v>
      </c>
      <c r="BC24" s="72"/>
      <c r="BD24" s="72"/>
    </row>
    <row r="25" spans="2:56" ht="15" customHeight="1" x14ac:dyDescent="0.15">
      <c r="B25" s="358" t="s">
        <v>233</v>
      </c>
      <c r="D25" s="649"/>
      <c r="E25" s="729"/>
      <c r="F25" s="694">
        <f>誤差比較!AI14</f>
        <v>40</v>
      </c>
      <c r="G25" s="694"/>
      <c r="H25" s="694"/>
      <c r="I25" s="694"/>
      <c r="J25" s="694"/>
      <c r="K25" s="695"/>
      <c r="L25" s="696" t="str">
        <f>IF(M22="","",L24*1000*M22/(SQRT(BA22)*BA24))</f>
        <v/>
      </c>
      <c r="M25" s="697"/>
      <c r="N25" s="732"/>
      <c r="O25" s="352"/>
      <c r="P25" s="355"/>
      <c r="Q25" s="354"/>
      <c r="R25" s="355"/>
      <c r="S25" s="119" t="str">
        <f t="shared" si="1"/>
        <v/>
      </c>
      <c r="T25" s="356"/>
      <c r="U25" s="120" t="str">
        <f>IF(OR(BA24="",S25=""),"",S25*1000*T25/(SQRT(BA22)*BA24))</f>
        <v/>
      </c>
      <c r="V25" s="121">
        <f>IF(AND(N(U22)=0,N(U23)=0,N(U24)=0,N(U25)=0),"",IF(V22&gt;=0,SQRT(ABS(V22^2-V24^2)),-SQRT(V22^2-V24^2)))</f>
        <v>1.7943279742029379</v>
      </c>
      <c r="W25" s="693"/>
      <c r="X25" s="698" t="str">
        <f>IF(Y24="","",AQ22*Z24*AR22*((1+0.00393*(F25-20))/1.2751)/Y24)</f>
        <v/>
      </c>
      <c r="Y25" s="699"/>
      <c r="Z25" s="700" t="str">
        <f>IF(Y24="","",(BA25/50)*AQ22*Z24*AR23/Y24)</f>
        <v/>
      </c>
      <c r="AA25" s="701"/>
      <c r="AB25" s="702">
        <f>IF(AC24="","",AQ22*AD24*AR24*((1+0.00393*(F25-20))/1.2751)/AC24)</f>
        <v>11.63314924969626</v>
      </c>
      <c r="AC25" s="699"/>
      <c r="AD25" s="700">
        <f>IF(AC24="","",(BA25/50)*AQ22*AD24*AR25/AC24)</f>
        <v>2.6777505485014839</v>
      </c>
      <c r="AE25" s="703"/>
      <c r="AF25" s="122">
        <f>IF(AND(AX22&lt;&gt;"",D22=""),AX22,"")</f>
        <v>202.33616277684965</v>
      </c>
      <c r="AG25" s="698">
        <f>IF(AP24="","",AP24)</f>
        <v>1.888220339514862</v>
      </c>
      <c r="AH25" s="699"/>
      <c r="AI25" s="123">
        <f>IF(AP25="","",AP25)</f>
        <v>1.7943279742029379</v>
      </c>
      <c r="AJ25" s="668"/>
      <c r="AK25" s="670"/>
      <c r="AL25" s="365"/>
      <c r="AM25" s="72"/>
      <c r="AN25" s="270" t="b">
        <f>IF(BA22="","",IF(AND(VALUE(BA22)=3,L22="油入自冷"),VLOOKUP(L24,変３,F24-47,FALSE),IF(AND(VALUE(BA22)=3,L22="モールド絶縁"),VLOOKUP(L24,変３,F24-42,FALSE))))</f>
        <v>0</v>
      </c>
      <c r="AO25" s="270" t="str">
        <f>IF(AND(L18="",N(AY23)&lt;10^29),AY23,"")</f>
        <v/>
      </c>
      <c r="AP25" s="271">
        <f>IF(V22="","",IF(AND(N(V25)=0,N(AP23)=0),0,(AQ25-AP23*(AQ24^2+AQ25^2))/((AQ24*AP23)^2+(AP23*AQ25-1)^2)))</f>
        <v>1.7943279742029379</v>
      </c>
      <c r="AQ25" s="272">
        <f>IF(N(V25)=0,10^30,V25)</f>
        <v>1.7943279742029379</v>
      </c>
      <c r="AR25" s="270">
        <f>IF(AB22="","",IF(AB22="600V IV",VLOOKUP(AB24,ＩＶ,3,FALSE),IF(OR(AB22="600V CV-T",AB22="600V CE-T"),VLOOKUP(AB24,ＣＶＴ,3,FALSE),IF(OR(AB22="600V CV-1C",AB22="600V CV-2C",AB22="600V CV-3C",AB22="600V CV-4C",AB22="600V CE-1C",AB22="600V CE-2C",AB22="600V CE-3C",AB22="600V CE-4C"),VLOOKUP(AB24,ＣＶ２３Ｃ,3,FALSE),VLOOKUP(AB24,ＣＵＳＥＲ,3,FALSE)))))</f>
        <v>7.7299999999999994E-2</v>
      </c>
      <c r="AS25" s="272">
        <f>IF(OR(AND(AS26="",AS27=""),AND(D22="",D26&lt;&gt;"")),AS23,(AS23*(AT26^2+AT27^2)+AT27*(AS22^2+AS23^2))/((AS22+AT26)^2+(AS23+AT27)^2))</f>
        <v>1.7970057247514393</v>
      </c>
      <c r="AT25" s="273">
        <f>IF(Z25="",AS25,N(AS25)+(Z25/1000))</f>
        <v>1.7970057247514393</v>
      </c>
      <c r="AU25" s="273" t="str">
        <f>IF(AU23="","",(AT25*(AU22^2+AU23^2)+AU23*(AT24^2+AT25^2))/((AT24+AU22)^2+(AT25+AU23)^2))</f>
        <v/>
      </c>
      <c r="AV25" s="273">
        <f>AV21+AV24</f>
        <v>1</v>
      </c>
      <c r="AW25" s="272" t="str">
        <f>IF(AO25="","",AW23+AO25)</f>
        <v/>
      </c>
      <c r="AX25" s="274"/>
      <c r="AY25" s="350">
        <f>IF(L24="",10^30,SQRT(BA22)*(BA24^2)*(N(AN23)+N(AN25)+N(AO23)+N(AV23))/(100000*L24*M22))</f>
        <v>1E+30</v>
      </c>
      <c r="AZ25" s="351"/>
      <c r="BA25" s="335">
        <f>IF(AND(F24="",SUM(S22:S25)&lt;&gt;0),BA21,F24)</f>
        <v>50</v>
      </c>
      <c r="BB25" s="285">
        <f t="shared" si="0"/>
        <v>0</v>
      </c>
      <c r="BC25" s="72"/>
      <c r="BD25" s="72"/>
    </row>
    <row r="26" spans="2:56" ht="15" customHeight="1" x14ac:dyDescent="0.15">
      <c r="B26" s="358"/>
      <c r="D26" s="647"/>
      <c r="E26" s="727"/>
      <c r="F26" s="653"/>
      <c r="G26" s="655" t="str">
        <f>IF(F26="","","φ")</f>
        <v/>
      </c>
      <c r="H26" s="657"/>
      <c r="I26" s="655" t="str">
        <f>IF(H26="","","W")</f>
        <v/>
      </c>
      <c r="J26" s="657"/>
      <c r="K26" s="671" t="str">
        <f>IF(J26="","","V")</f>
        <v/>
      </c>
      <c r="L26" s="673"/>
      <c r="M26" s="124"/>
      <c r="N26" s="675"/>
      <c r="O26" s="329"/>
      <c r="P26" s="332"/>
      <c r="Q26" s="331"/>
      <c r="R26" s="332"/>
      <c r="S26" s="265" t="str">
        <f t="shared" si="1"/>
        <v/>
      </c>
      <c r="T26" s="333"/>
      <c r="U26" s="266" t="str">
        <f>IF(OR(BA28="",S26=""),"",S26*1000*T26/(SQRT(BA26)*BA28))</f>
        <v/>
      </c>
      <c r="V26" s="678" t="str">
        <f>IF(AND(N(U26)=0,N(U27)=0,N(U28)=0,N(U29)=0),"",BA28/(SUM(U26:U29)))</f>
        <v/>
      </c>
      <c r="W26" s="680"/>
      <c r="X26" s="682"/>
      <c r="Y26" s="683"/>
      <c r="Z26" s="684"/>
      <c r="AA26" s="704"/>
      <c r="AB26" s="706"/>
      <c r="AC26" s="683"/>
      <c r="AD26" s="684"/>
      <c r="AE26" s="708"/>
      <c r="AF26" s="125" t="str">
        <f>IF(OR(AND(AF22="",N(BA24)=0,BA28&lt;&gt;0),D26&lt;&gt;""),AX28/AQ27,"")</f>
        <v/>
      </c>
      <c r="AG26" s="710" t="str">
        <f>IF(BA28=0,"",IF(AD28="",AX26,IF(AND(D26&lt;&gt;"",AU26=""),AX28*SQRT(AP28^2+AP29^2)/SQRT(AS26^2+AS27^2)/AQ27,AX26*SQRT(AP28^2+AP29^2)/SQRT(AS26^2+AS27^2))))</f>
        <v/>
      </c>
      <c r="AH26" s="711"/>
      <c r="AI26" s="126" t="str">
        <f>IF(AG26="","",IF(N(U26)&lt;0,-AX26*AQ27/SQRT(AS26^2+AS27^2),AX26*AQ27/SQRT(AS26^2+AS27^2)))</f>
        <v/>
      </c>
      <c r="AJ26" s="659"/>
      <c r="AK26" s="660"/>
      <c r="AL26" s="267"/>
      <c r="AM26" s="72"/>
      <c r="AN26" s="105" t="b">
        <f>IF(BA26="","",IF(AND(VALUE(BA26)=1,L26="油入自冷"),VLOOKUP(L28,変１,F28-48,FALSE),IF(AND(VALUE(BA26)=1,L26="モールド絶縁"),VLOOKUP(L28,変１,F28-43,FALSE))))</f>
        <v>0</v>
      </c>
      <c r="AO26" s="105">
        <f>IF(ISNA(VLOOKUP(L28,変ＵＳＥＲ,2,FALSE)),0,VLOOKUP(L28,変ＵＳＥＲ,2,FALSE))</f>
        <v>0</v>
      </c>
      <c r="AP26" s="106">
        <f>IF(N26="",0,N26*1000/BA28^2/SQRT(BA26))</f>
        <v>0</v>
      </c>
      <c r="AQ26" s="105" t="b">
        <f>IF(VALUE(BA26)=1,2,IF(BA26=3,SQRT(3),FALSE))</f>
        <v>0</v>
      </c>
      <c r="AR26" s="107" t="str">
        <f>IF(X26="","",IF(X26="600V IV",VLOOKUP(X28,ＩＶ,2,FALSE),IF(OR(X26="600V CV-T",AB26="600V CE-T"),VLOOKUP(X28,ＣＶＴ,2,FALSE),IF(OR(X26="600V CV-1C",X26="600V CV-2C",X26="600V CV-3C",X26="600V CV-4C",AB26="600V CE-1C",AB26="600V CE-2C",AB26="600V CE-3C",AB26="600V CE-4C"),VLOOKUP(X28,ＣＶ２３Ｃ,2,FALSE),VLOOKUP(X28,ＣＵＳＥＲ,2,FALSE)))))</f>
        <v/>
      </c>
      <c r="AS26" s="105" t="str">
        <f>IF(AB29="",AP28,AP28+(AB29/1000))</f>
        <v/>
      </c>
      <c r="AT26" s="108" t="str">
        <f>IF(AU28="",AT28,AU28)</f>
        <v/>
      </c>
      <c r="AU26" s="108" t="str">
        <f>IF(D26="","",IF(AND(D30="",D34&lt;&gt;"",AV29=AV37),AT34,IF(AND(D30="",D34="",D38&lt;&gt;"",AV33=AV41),AT38,IF(AND(D30="",D34="",D38="",D42&lt;&gt;"",AV37=AV45),AT42,IF(AND(D30="",D34="",D38="",D42="",D46&lt;&gt;"",AV41=AV49),AT46,IF(AND(D30="",D34="",D38="",D42="",D46="",D50&lt;&gt;"",AV45=AV53),AT50,IF(AND(D30="",D34="",D38="",D42="",D46="",D50="",D54&lt;&gt;"",AV49=AV57),AT54,"")))))))</f>
        <v/>
      </c>
      <c r="AV26" s="108" t="str">
        <f>IF(L26="発電機",IF(ISNA(VLOOKUP(L28,ＡＣＧ,2,FALSE)),0,VLOOKUP(L28,ＡＣＧ,2,FALSE)),"")</f>
        <v/>
      </c>
      <c r="AW26" s="109" t="str">
        <f>IF(AT26="","",AT26/((AT26*AP26)^2+(AT27*AP26-1)^2))</f>
        <v/>
      </c>
      <c r="AX26" s="110" t="str">
        <f>IF(BA28=0,"",IF(OR(AX22="",AF26&lt;&gt;""),AF26*SQRT(AS28^2+AS29^2)/SQRT(AT28^2+AT29^2),AX22*SQRT(AS28^2+AS29^2)/SQRT(AT28^2+AT29^2)))</f>
        <v/>
      </c>
      <c r="AY26" s="334">
        <f>IF(N(AY28)=10^30,10^30,IF(N(AY32)=10^30,(N(AY28)*(N(AY32)^2+N(AY33)^2)+N(AY32)*(N(AY28)^2+N(AY29)^2))/((N(AY28)+N(AY32))^2+(N(AY29)+N(AY33))^2),(N(AY28)*(N(AY30)^2+N(AY31)^2)+N(AY30)*(N(AY28)^2+N(AY29)^2))/((N(AY28)+N(AY30))^2+(N(AY29)+N(AY31))^2)))</f>
        <v>1E+30</v>
      </c>
      <c r="AZ26" s="72"/>
      <c r="BA26" s="335">
        <f>IF(AND(F26="",SUM(S26:S29)&lt;&gt;0),BA22,F26)</f>
        <v>0</v>
      </c>
      <c r="BB26" s="285">
        <f t="shared" si="0"/>
        <v>0</v>
      </c>
      <c r="BC26" s="72"/>
      <c r="BD26" s="72"/>
    </row>
    <row r="27" spans="2:56" ht="15" customHeight="1" x14ac:dyDescent="0.15">
      <c r="B27" s="358" t="s">
        <v>234</v>
      </c>
      <c r="D27" s="648"/>
      <c r="E27" s="728"/>
      <c r="F27" s="654"/>
      <c r="G27" s="656"/>
      <c r="H27" s="658"/>
      <c r="I27" s="656"/>
      <c r="J27" s="658"/>
      <c r="K27" s="672"/>
      <c r="L27" s="674"/>
      <c r="M27" s="111" t="str">
        <f>IF(L26="発電機",SQRT(AV26^2+AV27^2),IF(L28="","",IF(OR(L26="油入自冷",L26="モ－ルド絶縁"),IF(BA26=1,SQRT(AN26^2+AN27^2),IF(BA26=3,SQRT(AN28^2+AN29^2))),SQRT(AO26^2+AO27^2))))</f>
        <v/>
      </c>
      <c r="N27" s="676"/>
      <c r="O27" s="336"/>
      <c r="P27" s="364"/>
      <c r="Q27" s="338"/>
      <c r="R27" s="339"/>
      <c r="S27" s="112" t="str">
        <f t="shared" si="1"/>
        <v/>
      </c>
      <c r="T27" s="340"/>
      <c r="U27" s="268" t="str">
        <f>IF(OR(BA28="",S27=""),"",S27*1000*T27/(SQRT(BA26)*BA28))</f>
        <v/>
      </c>
      <c r="V27" s="679"/>
      <c r="W27" s="681"/>
      <c r="X27" s="685"/>
      <c r="Y27" s="686"/>
      <c r="Z27" s="687"/>
      <c r="AA27" s="705"/>
      <c r="AB27" s="707"/>
      <c r="AC27" s="686"/>
      <c r="AD27" s="687"/>
      <c r="AE27" s="709"/>
      <c r="AF27" s="113" t="str">
        <f>IF(OR(AF26="",AG22&lt;&gt;""),"",AF26*AQ27/SQRT(AT26^2+AT27^2))</f>
        <v/>
      </c>
      <c r="AG27" s="663" t="str">
        <f>IF(AG26="","",100*AG26*AQ27/BA28)</f>
        <v/>
      </c>
      <c r="AH27" s="664"/>
      <c r="AI27" s="665" t="str">
        <f>IF(BA28=0,"",IF(AI22="",AX28/SQRT(AT26^2+AT27^2),IF(AI30="","",IF(AT26&lt;0,-AX26*AQ23/SQRT(AT26^2+AT27^2),AX26*AQ23/SQRT(AT26^2+AT27^2)))))</f>
        <v/>
      </c>
      <c r="AJ27" s="661"/>
      <c r="AK27" s="662"/>
      <c r="AL27" s="269"/>
      <c r="AM27" s="72"/>
      <c r="AN27" s="105" t="b">
        <f>IF(BA26="","",IF(AND(VALUE(BA26)=1,L26="油入自冷"),VLOOKUP(L28,変１,F28-47,FALSE),IF(AND(VALUE(BA26)=1,L26="モールド絶縁"),VLOOKUP(L28,変１,F28-42,FALSE))))</f>
        <v>0</v>
      </c>
      <c r="AO27" s="105">
        <f>IF(ISNA(VLOOKUP(L28,変ＵＳＥＲ,3,FALSE)),0,VLOOKUP(L28,変ＵＳＥＲ,3,FALSE)*BA29/50)</f>
        <v>0</v>
      </c>
      <c r="AP27" s="106">
        <f>IF(W26="",0,W26*1000/BA28^2/SQRT(BA26))</f>
        <v>0</v>
      </c>
      <c r="AQ27" s="105">
        <f>IF(AND(VALUE(BA26)=1,VALUE(BA27)=2),1,IF(AND(VALUE(BA26)=3,VALUE(BA27)=3),1,IF(AND(VALUE(BA26)=1,VALUE(BA27)=3),2,IF(AND(VALUE(BA26)=3,VALUE(BA27)=4)*OR(VALUE(BB26)=1,VALUE(BB27)=1,VALUE(BB28)=1,VALUE(BB29)=1),1,SQRT(3)))))</f>
        <v>1.7320508075688772</v>
      </c>
      <c r="AR27" s="107" t="str">
        <f>IF(X26="","",IF(X26="600V IV",VLOOKUP(X28,ＩＶ,3,FALSE),IF(OR(X26="600V CV-T",AB26="600V CE-T"),VLOOKUP(X28,ＣＶＴ,3,FALSE),IF(OR(X26="600V CV-1C",X26="600V CV-2C",X26="600V CV-3C",X26="600V CV-4C",AB26="600V CE-1C",AB26="600V CE-2C",AB26="600V CE-3C",AB26="600V CE-4C"),VLOOKUP(X28,ＣＶ２３Ｃ,3,FALSE),VLOOKUP(X28,ＣＵＳＥＲ,3,FALSE)))))</f>
        <v/>
      </c>
      <c r="AS27" s="105" t="str">
        <f>IF(AD29="",AP29,AP29+(AD29/1000))</f>
        <v/>
      </c>
      <c r="AT27" s="108" t="str">
        <f>IF(AU29="",AT29,AU29)</f>
        <v/>
      </c>
      <c r="AU27" s="108" t="str">
        <f>IF(D26="","",IF(AND(D30="",D34&lt;&gt;"",AV29=AV37),AT35,IF(AND(D30="",D34="",D38&lt;&gt;"",AV33=AV41),AT39,IF(AND(D30="",D34="",D38="",D42&lt;&gt;"",AV37=AV45),AT43,IF(AND(D30="",D34="",D38="",D42="",D46&lt;&gt;"",AV41=AV49),AT47,IF(AND(D30="",D34="",D38="",D42="",D46="",D50&lt;&gt;"",AV45=AV53),AT51,IF(AND(D30="",D34="",D38="",D42="",D46="",D50="",D54&lt;&gt;"",AV49=AV57),AT55,"")))))))</f>
        <v/>
      </c>
      <c r="AV27" s="107" t="str">
        <f>IF(L26="発電機",IF(ISNA(VLOOKUP(L28,ＡＣＧ,3,FALSE)),0,VLOOKUP(L28,ＡＣＧ,3,FALSE)*BA29/50),"")</f>
        <v/>
      </c>
      <c r="AW27" s="109" t="str">
        <f>IF(AT27="","",(AT27-AP26*(AT26^2+AT27^2))/((AT26*AP26)^2+(AP26*AT27-1)^2))</f>
        <v/>
      </c>
      <c r="AX27" s="110"/>
      <c r="AY27" s="334">
        <f>IF(N(AY29)=10^30,10^30,IF(N(AY33)=10^30,(N(AY29)*(N(AY32)^2+N(AY33)^2)+N(AY33)*(N(AY28)^2+N(AY29)^2))/((N(AY28)+N(AY32))^2+(N(AY29)+N(AY33))^2),(N(AY29)*(N(AY30)^2+N(AY31)^2)+N(AY31)*(N(AY28)^2+N(AY29)^2))/((N(AY28)+N(AY30))^2+(N(AY29)+N(AY31))^2)))</f>
        <v>1E+30</v>
      </c>
      <c r="AZ27" s="72"/>
      <c r="BA27" s="335">
        <f>IF(AND(H26="",SUM(S26:S29)&lt;&gt;0),BA23,H26)</f>
        <v>0</v>
      </c>
      <c r="BB27" s="285">
        <f t="shared" si="0"/>
        <v>0</v>
      </c>
      <c r="BC27" s="72"/>
      <c r="BD27" s="72"/>
    </row>
    <row r="28" spans="2:56" ht="15" customHeight="1" x14ac:dyDescent="0.15">
      <c r="B28" s="358" t="s">
        <v>311</v>
      </c>
      <c r="D28" s="648"/>
      <c r="E28" s="728"/>
      <c r="F28" s="688"/>
      <c r="G28" s="688"/>
      <c r="H28" s="688"/>
      <c r="I28" s="688"/>
      <c r="J28" s="688"/>
      <c r="K28" s="689"/>
      <c r="L28" s="690"/>
      <c r="M28" s="691"/>
      <c r="N28" s="676"/>
      <c r="O28" s="336"/>
      <c r="P28" s="339"/>
      <c r="Q28" s="342"/>
      <c r="R28" s="339"/>
      <c r="S28" s="112" t="str">
        <f t="shared" si="1"/>
        <v/>
      </c>
      <c r="T28" s="340"/>
      <c r="U28" s="114" t="str">
        <f>IF(OR(BA28="",S28=""),"",S28*1000*T28/(SQRT(BA26)*BA28))</f>
        <v/>
      </c>
      <c r="V28" s="115" t="str">
        <f>IF(AND(N(U26)=0,N(U27)=0,N(U28)=0,N(U29)=0),"",V26*(P26*R26*T26+P27*R27*T27+P28*R28*T28+P29*R29*T29)/(P26*T26+P27*T27+P28*T28+P29*T29))</f>
        <v/>
      </c>
      <c r="W28" s="692" t="str">
        <f>IF(AND(N(AP28)=0,N(AP29)=0,N(AP27)=0),"",IF(AP29&gt;=0,COS(ATAN(AP29/AP28)),-COS(ATAN(AP29/AP28))))</f>
        <v/>
      </c>
      <c r="X28" s="343"/>
      <c r="Y28" s="344"/>
      <c r="Z28" s="345"/>
      <c r="AA28" s="346"/>
      <c r="AB28" s="347"/>
      <c r="AC28" s="344"/>
      <c r="AD28" s="345"/>
      <c r="AE28" s="348"/>
      <c r="AF28" s="116" t="str">
        <f>IF(OR(AF26="",AG22&lt;&gt;""),"",BA28/SQRT(AW28^2+AW29^2))</f>
        <v/>
      </c>
      <c r="AG28" s="663" t="str">
        <f>IF(AG26="","",100*((BA28/AQ27)-AG26)/(BA28/AQ27))</f>
        <v/>
      </c>
      <c r="AH28" s="664"/>
      <c r="AI28" s="666"/>
      <c r="AJ28" s="667"/>
      <c r="AK28" s="669"/>
      <c r="AL28" s="349"/>
      <c r="AM28" s="72"/>
      <c r="AN28" s="117" t="b">
        <f>IF(BA26="","",IF(AND(VALUE(BA26)=3,L26="油入自冷"),VLOOKUP(L28,変３,F28-48,FALSE),IF(AND(VALUE(BA26)=3,L26="モールド絶縁"),VLOOKUP(L28,変３,F28-43,FALSE))))</f>
        <v>0</v>
      </c>
      <c r="AO28" s="107" t="str">
        <f>IF(AND(L22="",N(AY26)&lt;10^29),AY26,"")</f>
        <v/>
      </c>
      <c r="AP28" s="118" t="str">
        <f>IF(V26="","",IF(AND(N(V28)=0,N(AP27)=0),"",AQ28/((AQ28*AP27)^2+(AP27*AQ29-1)^2)))</f>
        <v/>
      </c>
      <c r="AQ28" s="105">
        <f>IF(N(V28)=0,10^30,V28)</f>
        <v>1E+30</v>
      </c>
      <c r="AR28" s="107" t="str">
        <f>IF(AB26="","",IF(AB26="600V IV",VLOOKUP(AB28,ＩＶ,2,FALSE),IF(OR(AB26="600V CV-T",AB26="600V E-T"),VLOOKUP(AB28,ＣＶＴ,2,FALSE),IF(OR(AB26="600V CV-1C",AB26="600V CV-2C",AB26="600V CV-3C",AB26="600V CV-4C",AB26="600V CE-1C",AB26="600V CE-2C",AB26="600V CE-3C",AB26="600V CE-4C"),VLOOKUP(AB28,ＣＶ２３Ｃ,2,FALSE),VLOOKUP(AB28,ＣＵＳＥＲ,2,FALSE)))))</f>
        <v/>
      </c>
      <c r="AS28" s="105" t="str">
        <f>IF(OR(AND(AS30="",AS31=""),AND(D26="",D30&lt;&gt;"")),AS26,(AS26*(AT30^2+AT31^2)+AT30*(AS26^2+AS27^2))/((AS26+AT30)^2+(AS27+AT31)^2))</f>
        <v/>
      </c>
      <c r="AT28" s="108" t="str">
        <f>IF(X29="",AS28,N(AS28)+(X29/1000))</f>
        <v/>
      </c>
      <c r="AU28" s="108" t="str">
        <f>IF(AU26="","",(AT28*(AU26^2+AU27^2)+AU26*(AT28^2+AT29^2))/((AT28+AU26)^2+(AT29+AU27)^2))</f>
        <v/>
      </c>
      <c r="AV28" s="108">
        <f>IF(BA28=0,1,0)</f>
        <v>1</v>
      </c>
      <c r="AW28" s="109" t="str">
        <f>IF(AO28="","",AW26+AO28)</f>
        <v/>
      </c>
      <c r="AX28" s="110" t="str">
        <f>IF(AND(AX24="",AW28&lt;&gt;""),BA28*SQRT(AW26^2+AW27^2)/SQRT(AW28^2+AW29^2),IF(BA28&lt;&gt;0,AX24,""))</f>
        <v/>
      </c>
      <c r="AY28" s="350">
        <f>IF(L28="",10^30,SQRT(BA26)*(BA28^2)*(N(AN26)+N(AN28)+N(AO26)+N(AV26))/(100000*L28*M26))</f>
        <v>1E+30</v>
      </c>
      <c r="AZ28" s="351"/>
      <c r="BA28" s="335">
        <f>IF(AND(J26="",SUM(S26:S29)&lt;&gt;0),BA24,J26)</f>
        <v>0</v>
      </c>
      <c r="BB28" s="285">
        <f t="shared" si="0"/>
        <v>0</v>
      </c>
      <c r="BC28" s="72"/>
      <c r="BD28" s="72"/>
    </row>
    <row r="29" spans="2:56" ht="15" customHeight="1" x14ac:dyDescent="0.15">
      <c r="B29" s="358" t="s">
        <v>235</v>
      </c>
      <c r="D29" s="649"/>
      <c r="E29" s="729"/>
      <c r="F29" s="694"/>
      <c r="G29" s="694"/>
      <c r="H29" s="694"/>
      <c r="I29" s="694"/>
      <c r="J29" s="694"/>
      <c r="K29" s="695"/>
      <c r="L29" s="696" t="str">
        <f>IF(M26="","",L28*1000*M26/(SQRT(BA26)*BA28))</f>
        <v/>
      </c>
      <c r="M29" s="697"/>
      <c r="N29" s="677"/>
      <c r="O29" s="352"/>
      <c r="P29" s="355"/>
      <c r="Q29" s="354"/>
      <c r="R29" s="355"/>
      <c r="S29" s="119" t="str">
        <f t="shared" si="1"/>
        <v/>
      </c>
      <c r="T29" s="356"/>
      <c r="U29" s="120" t="str">
        <f>IF(OR(BA28="",S29=""),"",S29*1000*T29/(SQRT(BA26)*BA28))</f>
        <v/>
      </c>
      <c r="V29" s="121" t="str">
        <f>IF(AND(N(U26)=0,N(U27)=0,N(U28)=0,N(U29)=0),"",IF(V26&gt;=0,SQRT(ABS(V26^2-V28^2)),-SQRT(V26^2-V28^2)))</f>
        <v/>
      </c>
      <c r="W29" s="693"/>
      <c r="X29" s="698" t="str">
        <f>IF(Y28="","",AQ26*Z28*AR26*((1+0.00393*(F29-20))/1.2751)/Y28)</f>
        <v/>
      </c>
      <c r="Y29" s="699"/>
      <c r="Z29" s="700" t="str">
        <f>IF(Y28="","",(BA29/50)*AQ26*Z28*AR27/Y28)</f>
        <v/>
      </c>
      <c r="AA29" s="701"/>
      <c r="AB29" s="702" t="str">
        <f>IF(AC28="","",AQ26*AD28*AR28*((1+0.00393*(F29-20))/1.2751)/AC28)</f>
        <v/>
      </c>
      <c r="AC29" s="699"/>
      <c r="AD29" s="700" t="str">
        <f>IF(AC28="","",(BA29/50)*AQ26*AD28*AR29/AC28)</f>
        <v/>
      </c>
      <c r="AE29" s="703"/>
      <c r="AF29" s="122" t="str">
        <f>IF(AND(AX26&lt;&gt;"",D26=""),AX26,"")</f>
        <v/>
      </c>
      <c r="AG29" s="698" t="str">
        <f>IF(AP28="","",AP28)</f>
        <v/>
      </c>
      <c r="AH29" s="699"/>
      <c r="AI29" s="123" t="str">
        <f>IF(AP29="","",AP29)</f>
        <v/>
      </c>
      <c r="AJ29" s="668"/>
      <c r="AK29" s="670"/>
      <c r="AL29" s="365"/>
      <c r="AM29" s="72"/>
      <c r="AN29" s="270" t="b">
        <f>IF(BA26="","",IF(AND(VALUE(BA26)=3,L26="油入自冷"),VLOOKUP(L28,変３,F28-47,FALSE),IF(AND(VALUE(BA26)=3,L26="モールド絶縁"),VLOOKUP(L28,変３,F28-42,FALSE))))</f>
        <v>0</v>
      </c>
      <c r="AO29" s="270" t="str">
        <f>IF(AND(L22="",N(AY27)&lt;10^29),AY27,"")</f>
        <v/>
      </c>
      <c r="AP29" s="271" t="str">
        <f>IF(V26="","",IF(AND(N(V29)=0,N(AP27)=0),0,(AQ29-AP27*(AQ28^2+AQ29^2))/((AQ28*AP27)^2+(AP27*AQ29-1)^2)))</f>
        <v/>
      </c>
      <c r="AQ29" s="272">
        <f>IF(N(V29)=0,10^30,V29)</f>
        <v>1E+30</v>
      </c>
      <c r="AR29" s="270" t="str">
        <f>IF(AB26="","",IF(AB26="600V IV",VLOOKUP(AB28,ＩＶ,3,FALSE),IF(OR(AB26="600V CV-T",AB26="600V CE-T"),VLOOKUP(AB28,ＣＶＴ,3,FALSE),IF(OR(AB26="600V CV-1C",AB26="600V CV-2C",AB26="600V CV-3C",AB26="600V CV-4C",AB26="600V CE-1C",AB26="600V CE-2C",AB26="600V CE-3C",AB26="600V CE-4C"),VLOOKUP(AB28,ＣＶ２３Ｃ,3,FALSE),VLOOKUP(AB28,ＣＵＳＥＲ,3,FALSE)))))</f>
        <v/>
      </c>
      <c r="AS29" s="272" t="str">
        <f>IF(OR(AND(AS30="",AS31=""),AND(D26="",D30&lt;&gt;"")),AS27,(AS27*(AT30^2+AT31^2)+AT31*(AS26^2+AS27^2))/((AS26+AT30)^2+(AS27+AT31)^2))</f>
        <v/>
      </c>
      <c r="AT29" s="273" t="str">
        <f>IF(Z29="",AS29,N(AS29)+(Z29/1000))</f>
        <v/>
      </c>
      <c r="AU29" s="273" t="str">
        <f>IF(AU27="","",(AT29*(AU26^2+AU27^2)+AU27*(AT28^2+AT29^2))/((AT28+AU26)^2+(AT29+AU27)^2))</f>
        <v/>
      </c>
      <c r="AV29" s="273">
        <f>AV25+AV28</f>
        <v>2</v>
      </c>
      <c r="AW29" s="272" t="str">
        <f>IF(AO29="","",AW27+AO29)</f>
        <v/>
      </c>
      <c r="AX29" s="274"/>
      <c r="AY29" s="350">
        <f>IF(L28="",10^30,SQRT(BA26)*(BA28^2)*(N(AN27)+N(AN29)+N(AO27)+N(AV27))/(100000*L28*M26))</f>
        <v>1E+30</v>
      </c>
      <c r="AZ29" s="351"/>
      <c r="BA29" s="335">
        <f>IF(AND(F28="",SUM(S26:S29)&lt;&gt;0),BA25,F28)</f>
        <v>0</v>
      </c>
      <c r="BB29" s="285">
        <f t="shared" si="0"/>
        <v>0</v>
      </c>
      <c r="BC29" s="72"/>
      <c r="BD29" s="72"/>
    </row>
    <row r="30" spans="2:56" ht="15" customHeight="1" x14ac:dyDescent="0.15">
      <c r="B30" s="358" t="s">
        <v>236</v>
      </c>
      <c r="D30" s="647"/>
      <c r="E30" s="727"/>
      <c r="F30" s="653"/>
      <c r="G30" s="655" t="str">
        <f>IF(F30="","","φ")</f>
        <v/>
      </c>
      <c r="H30" s="657"/>
      <c r="I30" s="655" t="str">
        <f>IF(H30="","","W")</f>
        <v/>
      </c>
      <c r="J30" s="657"/>
      <c r="K30" s="671" t="str">
        <f>IF(J30="","","V")</f>
        <v/>
      </c>
      <c r="L30" s="673"/>
      <c r="M30" s="124"/>
      <c r="N30" s="675"/>
      <c r="O30" s="329"/>
      <c r="P30" s="332"/>
      <c r="Q30" s="331"/>
      <c r="R30" s="332"/>
      <c r="S30" s="265" t="str">
        <f t="shared" si="1"/>
        <v/>
      </c>
      <c r="T30" s="333"/>
      <c r="U30" s="266" t="str">
        <f>IF(OR(BA32="",S30=""),"",S30*1000*T30/(SQRT(BA30)*BA32))</f>
        <v/>
      </c>
      <c r="V30" s="678" t="str">
        <f>IF(AND(N(U30)=0,N(U31)=0,N(U32)=0,N(U33)=0),"",BA32/(SUM(U30:U33)))</f>
        <v/>
      </c>
      <c r="W30" s="680"/>
      <c r="X30" s="682"/>
      <c r="Y30" s="683"/>
      <c r="Z30" s="684"/>
      <c r="AA30" s="704"/>
      <c r="AB30" s="706"/>
      <c r="AC30" s="683"/>
      <c r="AD30" s="684"/>
      <c r="AE30" s="708"/>
      <c r="AF30" s="125" t="str">
        <f>IF(OR(AND(AF26="",N(BA28)=0,BA32&lt;&gt;0),D30&lt;&gt;""),AX32/AQ31,"")</f>
        <v/>
      </c>
      <c r="AG30" s="710" t="str">
        <f>IF(BA32=0,"",IF(AD32="",AX30,IF(AND(D30&lt;&gt;"",AU30=""),AX32*SQRT(AP32^2+AP33^2)/SQRT(AS30^2+AS31^2)/AQ31,AX30*SQRT(AP32^2+AP33^2)/SQRT(AS30^2+AS31^2))))</f>
        <v/>
      </c>
      <c r="AH30" s="711"/>
      <c r="AI30" s="126" t="str">
        <f>IF(AG30="","",IF(N(U30)&lt;0,-AX30*AQ31/SQRT(AS30^2+AS31^2),AX30*AQ31/SQRT(AS30^2+AS31^2)))</f>
        <v/>
      </c>
      <c r="AJ30" s="659"/>
      <c r="AK30" s="660"/>
      <c r="AL30" s="267"/>
      <c r="AM30" s="72"/>
      <c r="AN30" s="105" t="b">
        <f>IF(BA30="","",IF(AND(VALUE(BA30)=1,L30="油入自冷"),VLOOKUP(L32,変１,F32-48,FALSE),IF(AND(VALUE(BA30)=1,L30="モールド絶縁"),VLOOKUP(L32,変１,F32-43,FALSE))))</f>
        <v>0</v>
      </c>
      <c r="AO30" s="105">
        <f>IF(ISNA(VLOOKUP(L32,変ＵＳＥＲ,2,FALSE)),0,VLOOKUP(L32,変ＵＳＥＲ,2,FALSE))</f>
        <v>0</v>
      </c>
      <c r="AP30" s="106">
        <f>IF(N30="",0,N30*1000/BA32^2/SQRT(BA30))</f>
        <v>0</v>
      </c>
      <c r="AQ30" s="105" t="b">
        <f>IF(VALUE(BA30)=1,2,IF(BA30=3,SQRT(3),FALSE))</f>
        <v>0</v>
      </c>
      <c r="AR30" s="107" t="str">
        <f>IF(X30="","",IF(X30="600V IV",VLOOKUP(X32,ＩＶ,2,FALSE),IF(X30="600V CV-T",VLOOKUP(X32,ＣＶＴ,2,FALSE),IF(OR(X30="600V CV-1C",X30="600V CV-2C",X30="600V CV-3C",X30="600V CV-4C"),VLOOKUP(X32,ＣＶ２３Ｃ,2,FALSE),VLOOKUP(X32,ＣＵＳＥＲ,2,FALSE)))))</f>
        <v/>
      </c>
      <c r="AS30" s="105" t="str">
        <f>IF(AB33="",AP32,AP32+(AB33/1000))</f>
        <v/>
      </c>
      <c r="AT30" s="108" t="str">
        <f>IF(AU32="",AT32,AU32)</f>
        <v/>
      </c>
      <c r="AU30" s="108" t="str">
        <f>IF(D30="","",IF(AND(D34="",D38&lt;&gt;"",AV33=AV41),AT38,IF(AND(D34="",D38="",D42&lt;&gt;"",AV37=AV45),AT42,IF(AND(D34="",D38="",D42="",D46&lt;&gt;"",AV41=AV49),AT46,IF(AND(D34="",D38="",D42="",D46="",D50&lt;&gt;"",AV45=AV53),AT50,IF(AND(D34="",D38="",D42="",D46="",D50="",D54&lt;&gt;"",AV49=AV57),AT54,IF(AND(D34="",D38="",D42="",D46="",D50="",D54="",D58&lt;&gt;"",AV53=AV61),AT58,"")))))))</f>
        <v/>
      </c>
      <c r="AV30" s="108" t="str">
        <f>IF(L30="発電機",IF(ISNA(VLOOKUP(L32,ＡＣＧ,2,FALSE)),0,VLOOKUP(L32,ＡＣＧ,2,FALSE)),"")</f>
        <v/>
      </c>
      <c r="AW30" s="109" t="str">
        <f>IF(AT30="","",AT30/((AT30*AP30)^2+(AT31*AP30-1)^2))</f>
        <v/>
      </c>
      <c r="AX30" s="110" t="str">
        <f>IF(BA32=0,"",IF(OR(AX26="",AF30&lt;&gt;""),AF30*SQRT(AS32^2+AS33^2)/SQRT(AT32^2+AT33^2),AX26*SQRT(AS32^2+AS33^2)/SQRT(AT32^2+AT33^2)))</f>
        <v/>
      </c>
      <c r="AY30" s="334">
        <f>IF(N(AY32)=10^30,10^30,IF(N(AY36)=10^30,(N(AY32)*(N(AY36)^2+N(AY37)^2)+N(AY36)*(N(AY32)^2+N(AY33)^2))/((N(AY32)+N(AY36))^2+(N(AY33)+N(AY37))^2),(N(AY32)*(N(AY34)^2+N(AY35)^2)+N(AY34)*(N(AY32)^2+N(AY33)^2))/((N(AY32)+N(AY34))^2+(N(AY33)+N(AY35))^2)))</f>
        <v>1E+30</v>
      </c>
      <c r="AZ30" s="72"/>
      <c r="BA30" s="335">
        <f>IF(AND(F30="",SUM(S30:S33)&lt;&gt;0),BA26,F30)</f>
        <v>0</v>
      </c>
      <c r="BB30" s="285">
        <f t="shared" si="0"/>
        <v>0</v>
      </c>
      <c r="BC30" s="72"/>
      <c r="BD30" s="72"/>
    </row>
    <row r="31" spans="2:56" ht="15" customHeight="1" x14ac:dyDescent="0.15">
      <c r="B31" s="358"/>
      <c r="D31" s="648"/>
      <c r="E31" s="728"/>
      <c r="F31" s="654"/>
      <c r="G31" s="656"/>
      <c r="H31" s="658"/>
      <c r="I31" s="656"/>
      <c r="J31" s="658"/>
      <c r="K31" s="672"/>
      <c r="L31" s="674"/>
      <c r="M31" s="111" t="str">
        <f>IF(L30="発電機",SQRT(AV30^2+AV31^2),IF(L32="","",IF(OR(L30="油入自冷",L30="モ－ルド絶縁"),IF(BA30=1,SQRT(AN30^2+AN31^2),IF(BA30=3,SQRT(AN32^2+AN33^2))),SQRT(AO30^2+AO31^2))))</f>
        <v/>
      </c>
      <c r="N31" s="676"/>
      <c r="O31" s="336"/>
      <c r="P31" s="364"/>
      <c r="Q31" s="338"/>
      <c r="R31" s="339"/>
      <c r="S31" s="112" t="str">
        <f t="shared" si="1"/>
        <v/>
      </c>
      <c r="T31" s="340"/>
      <c r="U31" s="268" t="str">
        <f>IF(OR(BA32="",S31=""),"",S31*1000*T31/(SQRT(BA30)*BA32))</f>
        <v/>
      </c>
      <c r="V31" s="679"/>
      <c r="W31" s="681"/>
      <c r="X31" s="685"/>
      <c r="Y31" s="686"/>
      <c r="Z31" s="687"/>
      <c r="AA31" s="705"/>
      <c r="AB31" s="707"/>
      <c r="AC31" s="686"/>
      <c r="AD31" s="687"/>
      <c r="AE31" s="709"/>
      <c r="AF31" s="113" t="str">
        <f>IF(OR(AF30="",AG26&lt;&gt;""),"",AF30*AQ31/SQRT(AT30^2+AT31^2))</f>
        <v/>
      </c>
      <c r="AG31" s="663" t="str">
        <f>IF(AG30="","",100*AG30*AQ31/BA32)</f>
        <v/>
      </c>
      <c r="AH31" s="664"/>
      <c r="AI31" s="665" t="str">
        <f>IF(BA32=0,"",IF(AI26="",AX32/SQRT(AT30^2+AT31^2),IF(AI34="","",IF(AT30&lt;0,-AX30*AQ27/SQRT(AT30^2+AT31^2),AX30*AQ27/SQRT(AT30^2+AT31^2)))))</f>
        <v/>
      </c>
      <c r="AJ31" s="661"/>
      <c r="AK31" s="662"/>
      <c r="AL31" s="269"/>
      <c r="AM31" s="72"/>
      <c r="AN31" s="105" t="b">
        <f>IF(BA30="","",IF(AND(VALUE(BA30)=1,L30="油入自冷"),VLOOKUP(L32,変１,F32-47,FALSE),IF(AND(VALUE(BA30)=1,L30="モールド絶縁"),VLOOKUP(L32,変１,F32-42,FALSE))))</f>
        <v>0</v>
      </c>
      <c r="AO31" s="105">
        <f>IF(ISNA(VLOOKUP(L32,変ＵＳＥＲ,3,FALSE)),0,VLOOKUP(L32,変ＵＳＥＲ,3,FALSE)*BA33/50)</f>
        <v>0</v>
      </c>
      <c r="AP31" s="106">
        <f>IF(W30="",0,W30*1000/BA32^2/SQRT(BA30))</f>
        <v>0</v>
      </c>
      <c r="AQ31" s="105">
        <f>IF(AND(VALUE(BA30)=1,VALUE(BA31)=2),1,IF(AND(VALUE(BA30)=3,VALUE(BA31)=3),1,IF(AND(VALUE(BA30)=1,VALUE(BA31)=3),2,IF(AND(VALUE(BA30)=3,VALUE(BA31)=4)*OR(VALUE(BB30)=1,VALUE(BB31)=1,VALUE(BB32)=1,VALUE(BB33)=1),1,SQRT(3)))))</f>
        <v>1.7320508075688772</v>
      </c>
      <c r="AR31" s="107" t="str">
        <f>IF(X30="","",IF(X30="600V IV",VLOOKUP(X32,ＩＶ,3,FALSE),IF(X30="600V CV-T",VLOOKUP(X32,ＣＶＴ,3,FALSE),IF(OR(X30="600V CV-1C",X30="600V CV-2C",X30="600V CV-3C",X30="600V CV-4C"),VLOOKUP(X32,ＣＶ２３Ｃ,3,FALSE),VLOOKUP(X32,ＣＵＳＥＲ,3,FALSE)))))</f>
        <v/>
      </c>
      <c r="AS31" s="105" t="str">
        <f>IF(AD33="",AP33,AP33+(AD33/1000))</f>
        <v/>
      </c>
      <c r="AT31" s="108" t="str">
        <f>IF(AU33="",AT33,AU33)</f>
        <v/>
      </c>
      <c r="AU31" s="108" t="str">
        <f>IF(D30="","",IF(AND(D34="",D38&lt;&gt;"",AV33=AV41),AT39,IF(AND(D34="",D38="",D42&lt;&gt;"",AV37=AV45),AT43,IF(AND(D34="",D38="",D42="",D46&lt;&gt;"",AV41=AV49),AT47,IF(AND(D34="",D38="",D42="",D46="",D50&lt;&gt;"",AV45=AV53),AT51,IF(AND(D34="",D38="",D42="",D46="",D50="",D54&lt;&gt;"",AV49=AV57),AT55,IF(AND(D34="",D38="",D42="",D46="",D50="",D54="",D58&lt;&gt;"",AV53=AV61),AT59,"")))))))</f>
        <v/>
      </c>
      <c r="AV31" s="107" t="str">
        <f>IF(L30="発電機",IF(ISNA(VLOOKUP(L32,ＡＣＧ,3,FALSE)),0,VLOOKUP(L32,ＡＣＧ,3,FALSE)*BA33/50),"")</f>
        <v/>
      </c>
      <c r="AW31" s="109" t="str">
        <f>IF(AT31="","",(AT31-AP30*(AT30^2+AT31^2))/((AT30*AP30)^2+(AP30*AT31-1)^2))</f>
        <v/>
      </c>
      <c r="AX31" s="110"/>
      <c r="AY31" s="334">
        <f>IF(N(AY33)=10^30,10^30,IF(N(AY37)=10^30,(N(AY33)*(N(AY36)^2+N(AY37)^2)+N(AY37)*(N(AY32)^2+N(AY33)^2))/((N(AY32)+N(AY36))^2+(N(AY33)+N(AY37))^2),(N(AY33)*(N(AY34)^2+N(AY35)^2)+N(AY35)*(N(AY32)^2+N(AY33)^2))/((N(AY32)+N(AY34))^2+(N(AY33)+N(AY35))^2)))</f>
        <v>1E+30</v>
      </c>
      <c r="AZ31" s="72"/>
      <c r="BA31" s="335">
        <f>IF(AND(H30="",SUM(S30:S33)&lt;&gt;0),BA27,H30)</f>
        <v>0</v>
      </c>
      <c r="BB31" s="285">
        <f t="shared" si="0"/>
        <v>0</v>
      </c>
      <c r="BC31" s="72"/>
      <c r="BD31" s="72"/>
    </row>
    <row r="32" spans="2:56" ht="15" customHeight="1" x14ac:dyDescent="0.15">
      <c r="B32" s="358"/>
      <c r="D32" s="648"/>
      <c r="E32" s="728"/>
      <c r="F32" s="688"/>
      <c r="G32" s="688"/>
      <c r="H32" s="688"/>
      <c r="I32" s="688"/>
      <c r="J32" s="688"/>
      <c r="K32" s="689"/>
      <c r="L32" s="690"/>
      <c r="M32" s="691"/>
      <c r="N32" s="676"/>
      <c r="O32" s="336"/>
      <c r="P32" s="339"/>
      <c r="Q32" s="342"/>
      <c r="R32" s="339"/>
      <c r="S32" s="112" t="str">
        <f t="shared" si="1"/>
        <v/>
      </c>
      <c r="T32" s="340"/>
      <c r="U32" s="114" t="str">
        <f>IF(OR(BA32="",S32=""),"",S32*1000*T32/(SQRT(BA30)*BA32))</f>
        <v/>
      </c>
      <c r="V32" s="115" t="str">
        <f>IF(AND(N(U30)=0,N(U31)=0,N(U32)=0,N(U33)=0),"",V30*(P30*R30*T30+P31*R31*T31+P32*R32*T32+P33*R33*T33)/(P30*T30+P31*T31+P32*T32+P33*T33))</f>
        <v/>
      </c>
      <c r="W32" s="692" t="str">
        <f>IF(AND(N(AP32)=0,N(AP33)=0,N(AP31)=0),"",IF(AP33&gt;=0,COS(ATAN(AP33/AP32)),-COS(ATAN(AP33/AP32))))</f>
        <v/>
      </c>
      <c r="X32" s="343"/>
      <c r="Y32" s="344"/>
      <c r="Z32" s="345"/>
      <c r="AA32" s="346"/>
      <c r="AB32" s="347"/>
      <c r="AC32" s="344"/>
      <c r="AD32" s="345"/>
      <c r="AE32" s="348"/>
      <c r="AF32" s="116" t="str">
        <f>IF(OR(AF30="",AG26&lt;&gt;""),"",BA32/SQRT(AW32^2+AW33^2))</f>
        <v/>
      </c>
      <c r="AG32" s="663" t="str">
        <f>IF(AG30="","",100*((BA32/AQ31)-AG30)/(BA32/AQ31))</f>
        <v/>
      </c>
      <c r="AH32" s="664"/>
      <c r="AI32" s="666"/>
      <c r="AJ32" s="667"/>
      <c r="AK32" s="669"/>
      <c r="AL32" s="349"/>
      <c r="AM32" s="72"/>
      <c r="AN32" s="117" t="b">
        <f>IF(BA30="","",IF(AND(VALUE(BA30)=3,L30="油入自冷"),VLOOKUP(L32,変３,F32-48,FALSE),IF(AND(VALUE(BA30)=3,L30="モールド絶縁"),VLOOKUP(L32,変３,F32-43,FALSE))))</f>
        <v>0</v>
      </c>
      <c r="AO32" s="107" t="str">
        <f>IF(AND(L26="",N(AY30)&lt;10^29),AY30,"")</f>
        <v/>
      </c>
      <c r="AP32" s="118" t="str">
        <f>IF(V30="","",IF(AND(N(V32)=0,N(AP31)=0),"",AQ32/((AQ32*AP31)^2+(AP31*AQ33-1)^2)))</f>
        <v/>
      </c>
      <c r="AQ32" s="105">
        <f>IF(N(V32)=0,10^30,V32)</f>
        <v>1E+30</v>
      </c>
      <c r="AR32" s="107" t="str">
        <f>IF(AB30="","",IF(AB30="600V IV",VLOOKUP(AB32,ＩＶ,2,FALSE),IF(AB30="600V CV-T",VLOOKUP(AB32,ＣＶＴ,2,FALSE),IF(OR(AB30="600V CV-1C",AB30="600V CV-2C",AB30="600V CV-3C",AB30="600V CV-4C"),VLOOKUP(AB32,ＣＶ２３Ｃ,2,FALSE),VLOOKUP(AB32,ＣＵＳＥＲ,2,FALSE)))))</f>
        <v/>
      </c>
      <c r="AS32" s="105" t="str">
        <f>IF(OR(AND(AS34="",AS35=""),AND(D30="",D34&lt;&gt;"")),AS30,(AS30*(AT34^2+AT35^2)+AT34*(AS30^2+AS31^2))/((AS30+AT34)^2+(AS31+AT35)^2))</f>
        <v/>
      </c>
      <c r="AT32" s="108" t="str">
        <f>IF(X33="",AS32,N(AS32)+(X33/1000))</f>
        <v/>
      </c>
      <c r="AU32" s="108" t="str">
        <f>IF(AU30="","",(AT32*(AU30^2+AU31^2)+AU30*(AT32^2+AT33^2))/((AT32+AU30)^2+(AT33+AU31)^2))</f>
        <v/>
      </c>
      <c r="AV32" s="108">
        <f>IF(BA32=0,1,0)</f>
        <v>1</v>
      </c>
      <c r="AW32" s="109" t="str">
        <f>IF(AO32="","",AW30+AO32)</f>
        <v/>
      </c>
      <c r="AX32" s="110" t="str">
        <f>IF(AND(AX28="",AW32&lt;&gt;""),BA32*SQRT(AW30^2+AW31^2)/SQRT(AW32^2+AW33^2),IF(BA32&lt;&gt;0,AX28,""))</f>
        <v/>
      </c>
      <c r="AY32" s="350">
        <f>IF(L32="",10^30,SQRT(BA30)*(BA32^2)*(N(AN30)+N(AN32)+N(AO30)+N(AV30))/(100000*L32*M30))</f>
        <v>1E+30</v>
      </c>
      <c r="AZ32" s="351"/>
      <c r="BA32" s="335">
        <f>IF(AND(J30="",SUM(S30:S33)&lt;&gt;0),BA28,J30)</f>
        <v>0</v>
      </c>
      <c r="BB32" s="285">
        <f t="shared" si="0"/>
        <v>0</v>
      </c>
      <c r="BC32" s="72"/>
      <c r="BD32" s="72"/>
    </row>
    <row r="33" spans="2:56" ht="15" customHeight="1" x14ac:dyDescent="0.15">
      <c r="B33" s="358"/>
      <c r="D33" s="649"/>
      <c r="E33" s="729"/>
      <c r="F33" s="694"/>
      <c r="G33" s="694"/>
      <c r="H33" s="694"/>
      <c r="I33" s="694"/>
      <c r="J33" s="694"/>
      <c r="K33" s="695"/>
      <c r="L33" s="696" t="str">
        <f>IF(M30="","",L32*1000*M30/(SQRT(BA30)*BA32))</f>
        <v/>
      </c>
      <c r="M33" s="697"/>
      <c r="N33" s="677"/>
      <c r="O33" s="352"/>
      <c r="P33" s="355"/>
      <c r="Q33" s="354"/>
      <c r="R33" s="355"/>
      <c r="S33" s="119" t="str">
        <f t="shared" si="1"/>
        <v/>
      </c>
      <c r="T33" s="356"/>
      <c r="U33" s="120" t="str">
        <f>IF(OR(BA32="",S33=""),"",S33*1000*T33/(SQRT(BA30)*BA32))</f>
        <v/>
      </c>
      <c r="V33" s="121" t="str">
        <f>IF(AND(N(U30)=0,N(U31)=0,N(U32)=0,N(U33)=0),"",IF(V30&gt;=0,SQRT(ABS(V30^2-V32^2)),-SQRT(V30^2-V32^2)))</f>
        <v/>
      </c>
      <c r="W33" s="693"/>
      <c r="X33" s="698" t="str">
        <f>IF(Y32="","",AQ30*Z32*AR30*((1+0.00393*(F33-20))/1.2751)/Y32)</f>
        <v/>
      </c>
      <c r="Y33" s="699"/>
      <c r="Z33" s="700" t="str">
        <f>IF(Y32="","",(BA33/50)*AQ30*Z32*AR31/Y32)</f>
        <v/>
      </c>
      <c r="AA33" s="701"/>
      <c r="AB33" s="702" t="str">
        <f>IF(AC32="","",AQ30*AD32*AR32*((1+0.00393*(F33-20))/1.2751)/AC32)</f>
        <v/>
      </c>
      <c r="AC33" s="699"/>
      <c r="AD33" s="700" t="str">
        <f>IF(AC32="","",(BA33/50)*AQ30*AD32*AR33/AC32)</f>
        <v/>
      </c>
      <c r="AE33" s="703"/>
      <c r="AF33" s="122" t="str">
        <f>IF(AND(AX30&lt;&gt;"",D30=""),AX30,"")</f>
        <v/>
      </c>
      <c r="AG33" s="698" t="str">
        <f>IF(AP32="","",AP32)</f>
        <v/>
      </c>
      <c r="AH33" s="699"/>
      <c r="AI33" s="123" t="str">
        <f>IF(AP33="","",AP33)</f>
        <v/>
      </c>
      <c r="AJ33" s="668"/>
      <c r="AK33" s="670"/>
      <c r="AL33" s="365"/>
      <c r="AM33" s="72"/>
      <c r="AN33" s="270" t="b">
        <f>IF(BA30="","",IF(AND(VALUE(BA30)=3,L30="油入自冷"),VLOOKUP(L32,変３,F32-47,FALSE),IF(AND(VALUE(BA30)=3,L30="モールド絶縁"),VLOOKUP(L32,変３,F32-42,FALSE))))</f>
        <v>0</v>
      </c>
      <c r="AO33" s="270" t="str">
        <f>IF(AND(L26="",N(AY31)&lt;10^29),AY31,"")</f>
        <v/>
      </c>
      <c r="AP33" s="271" t="str">
        <f>IF(V30="","",IF(AND(N(V33)=0,N(AP31)=0),0,(AQ33-AP31*(AQ32^2+AQ33^2))/((AQ32*AP31)^2+(AP31*AQ33-1)^2)))</f>
        <v/>
      </c>
      <c r="AQ33" s="272">
        <f>IF(N(V33)=0,10^30,V33)</f>
        <v>1E+30</v>
      </c>
      <c r="AR33" s="270" t="str">
        <f>IF(AB30="","",IF(AB30="600V IV",VLOOKUP(AB32,ＩＶ,3,FALSE),IF(AB30="600V CV-T",VLOOKUP(AB32,ＣＶＴ,3,FALSE),IF(OR(AB30="600V CV-1C",AB30="600V CV-2C",AB30="600V CV-3C",AB30="600V CV-4C"),VLOOKUP(AB32,ＣＶ２３Ｃ,3,FALSE),VLOOKUP(AB32,ＣＵＳＥＲ,3,FALSE)))))</f>
        <v/>
      </c>
      <c r="AS33" s="272" t="str">
        <f>IF(OR(AND(AS34="",AS35=""),AND(D30="",D34&lt;&gt;"")),AS31,(AS31*(AT34^2+AT35^2)+AT35*(AS30^2+AS31^2))/((AS30+AT34)^2+(AS31+AT35)^2))</f>
        <v/>
      </c>
      <c r="AT33" s="273" t="str">
        <f>IF(Z33="",AS33,N(AS33)+(Z33/1000))</f>
        <v/>
      </c>
      <c r="AU33" s="273" t="str">
        <f>IF(AU31="","",(AT33*(AU30^2+AU31^2)+AU31*(AT32^2+AT33^2))/((AT32+AU30)^2+(AT33+AU31)^2))</f>
        <v/>
      </c>
      <c r="AV33" s="273">
        <f>AV29+AV32</f>
        <v>3</v>
      </c>
      <c r="AW33" s="272" t="str">
        <f>IF(AO33="","",AW31+AO33)</f>
        <v/>
      </c>
      <c r="AX33" s="274"/>
      <c r="AY33" s="350">
        <f>IF(L32="",10^30,SQRT(BA30)*(BA32^2)*(N(AN31)+N(AN33)+N(AO31)+N(AV31))/(100000*L32*M30))</f>
        <v>1E+30</v>
      </c>
      <c r="AZ33" s="351"/>
      <c r="BA33" s="335">
        <f>IF(AND(F32="",SUM(S30:S33)&lt;&gt;0),BA29,F32)</f>
        <v>0</v>
      </c>
      <c r="BB33" s="285">
        <f t="shared" si="0"/>
        <v>0</v>
      </c>
      <c r="BC33" s="72"/>
      <c r="BD33" s="72"/>
    </row>
    <row r="34" spans="2:56" ht="15" customHeight="1" x14ac:dyDescent="0.15">
      <c r="B34" s="358"/>
      <c r="D34" s="647"/>
      <c r="E34" s="727"/>
      <c r="F34" s="653"/>
      <c r="G34" s="655" t="str">
        <f>IF(F34="","","φ")</f>
        <v/>
      </c>
      <c r="H34" s="657"/>
      <c r="I34" s="655" t="str">
        <f>IF(H34="","","W")</f>
        <v/>
      </c>
      <c r="J34" s="657"/>
      <c r="K34" s="671" t="str">
        <f>IF(J34="","","V")</f>
        <v/>
      </c>
      <c r="L34" s="673"/>
      <c r="M34" s="124"/>
      <c r="N34" s="675"/>
      <c r="O34" s="329"/>
      <c r="P34" s="332"/>
      <c r="Q34" s="331"/>
      <c r="R34" s="332"/>
      <c r="S34" s="265" t="str">
        <f t="shared" si="1"/>
        <v/>
      </c>
      <c r="T34" s="333"/>
      <c r="U34" s="266" t="str">
        <f>IF(OR(BA36="",S34=""),"",S34*1000*T34/(SQRT(BA34)*BA36))</f>
        <v/>
      </c>
      <c r="V34" s="678" t="str">
        <f>IF(AND(N(U34)=0,N(U35)=0,N(U36)=0,N(U37)=0),"",BA36/(SUM(U34:U37)))</f>
        <v/>
      </c>
      <c r="W34" s="680"/>
      <c r="X34" s="682"/>
      <c r="Y34" s="683"/>
      <c r="Z34" s="684"/>
      <c r="AA34" s="704"/>
      <c r="AB34" s="706"/>
      <c r="AC34" s="683"/>
      <c r="AD34" s="684"/>
      <c r="AE34" s="708"/>
      <c r="AF34" s="125" t="str">
        <f>IF(OR(AND(AF30="",N(BA32)=0,BA36&lt;&gt;0),D34&lt;&gt;""),AX36/AQ35,"")</f>
        <v/>
      </c>
      <c r="AG34" s="710" t="str">
        <f>IF(BA36=0,"",IF(AD36="",AX34,IF(AND(D34&lt;&gt;"",AU34=""),AX36*SQRT(AP36^2+AP37^2)/SQRT(AS34^2+AS35^2)/AQ35,AX34*SQRT(AP36^2+AP37^2)/SQRT(AS34^2+AS35^2))))</f>
        <v/>
      </c>
      <c r="AH34" s="711"/>
      <c r="AI34" s="126" t="str">
        <f>IF(AG34="","",IF(N(U34)&lt;0,-AX34*AQ35/SQRT(AS34^2+AS35^2),AX34*AQ35/SQRT(AS34^2+AS35^2)))</f>
        <v/>
      </c>
      <c r="AJ34" s="659"/>
      <c r="AK34" s="660"/>
      <c r="AL34" s="267"/>
      <c r="AM34" s="72"/>
      <c r="AN34" s="105" t="b">
        <f>IF(BA34="","",IF(AND(VALUE(BA34)=1,L34="油入自冷"),VLOOKUP(L36,変１,F36-48,FALSE),IF(AND(VALUE(BA34)=1,L34="モールド絶縁"),VLOOKUP(L36,変１,F36-43,FALSE))))</f>
        <v>0</v>
      </c>
      <c r="AO34" s="105">
        <f>IF(ISNA(VLOOKUP(L36,変ＵＳＥＲ,2,FALSE)),0,VLOOKUP(L36,変ＵＳＥＲ,2,FALSE))</f>
        <v>0</v>
      </c>
      <c r="AP34" s="106">
        <f>IF(N34="",0,N34*1000/BA36^2/SQRT(BA34))</f>
        <v>0</v>
      </c>
      <c r="AQ34" s="105" t="b">
        <f>IF(VALUE(BA34)=1,2,IF(BA34=3,SQRT(3),FALSE))</f>
        <v>0</v>
      </c>
      <c r="AR34" s="107" t="str">
        <f>IF(X34="","",IF(X34="600V IV",VLOOKUP(X36,ＩＶ,2,FALSE),IF(X34="600V CV-T",VLOOKUP(X36,ＣＶＴ,2,FALSE),IF(OR(X34="600V CV-1C",X34="600V CV-2C",X34="600V CV-3C",X34="600V CV-4C"),VLOOKUP(X36,ＣＶ２３Ｃ,2,FALSE),VLOOKUP(X36,ＣＵＳＥＲ,2,FALSE)))))</f>
        <v/>
      </c>
      <c r="AS34" s="105" t="str">
        <f>IF(AB37="",AP36,AP36+(AB37/1000))</f>
        <v/>
      </c>
      <c r="AT34" s="108" t="str">
        <f>IF(AU36="",AT36,AU36)</f>
        <v/>
      </c>
      <c r="AU34" s="108" t="str">
        <f>IF(D34="","",IF(AND(D38="",D42&lt;&gt;"",AV37=AV45),AT42,IF(AND(D38="",D42="",D46&lt;&gt;"",AV41=AV49),AT46,IF(AND(D38="",D42="",D46="",D50&lt;&gt;"",AV45=AV53),AT50,IF(AND(D38="",D42="",D46="",D50="",D54&lt;&gt;"",AV49=AV57),AT54,IF(AND(D38="",D42="",D46="",D50="",D54="",D58&lt;&gt;"",AV53=AV61),AT58,IF(AND(D38="",D42="",D46="",D50="",D54="",D58="",D62&lt;&gt;"",AV57=AV65),AT62,"")))))))</f>
        <v/>
      </c>
      <c r="AV34" s="108" t="str">
        <f>IF(L34="発電機",IF(ISNA(VLOOKUP(L36,ＡＣＧ,2,FALSE)),0,VLOOKUP(L36,ＡＣＧ,2,FALSE)),"")</f>
        <v/>
      </c>
      <c r="AW34" s="109" t="str">
        <f>IF(AT34="","",AT34/((AT34*AP34)^2+(AT35*AP34-1)^2))</f>
        <v/>
      </c>
      <c r="AX34" s="110" t="str">
        <f>IF(BA36=0,"",IF(OR(AX30="",AF34&lt;&gt;""),AF34*SQRT(AS36^2+AS37^2)/SQRT(AT36^2+AT37^2),AX30*SQRT(AS36^2+AS37^2)/SQRT(AT36^2+AT37^2)))</f>
        <v/>
      </c>
      <c r="AY34" s="334">
        <f>IF(N(AY36)=10^30,10^30,IF(N(AY40)=10^30,(N(AY36)*(N(AY40)^2+N(AY41)^2)+N(AY40)*(N(AY36)^2+N(AY37)^2))/((N(AY36)+N(AY40))^2+(N(AY37)+N(AY41))^2),(N(AY36)*(N(AY38)^2+N(AY39)^2)+N(AY38)*(N(AY36)^2+N(AY37)^2))/((N(AY36)+N(AY38))^2+(N(AY37)+N(AY39))^2)))</f>
        <v>1E+30</v>
      </c>
      <c r="AZ34" s="72"/>
      <c r="BA34" s="335">
        <f>IF(AND(F34="",SUM(S34:S37)&lt;&gt;0),BA30,F34)</f>
        <v>0</v>
      </c>
      <c r="BB34" s="285">
        <f t="shared" si="0"/>
        <v>0</v>
      </c>
      <c r="BC34" s="72"/>
      <c r="BD34" s="72"/>
    </row>
    <row r="35" spans="2:56" ht="15" customHeight="1" x14ac:dyDescent="0.15">
      <c r="B35" s="358"/>
      <c r="D35" s="648"/>
      <c r="E35" s="728"/>
      <c r="F35" s="654"/>
      <c r="G35" s="656"/>
      <c r="H35" s="658"/>
      <c r="I35" s="656"/>
      <c r="J35" s="658"/>
      <c r="K35" s="672"/>
      <c r="L35" s="674"/>
      <c r="M35" s="111" t="str">
        <f>IF(L34="発電機",SQRT(AV34^2+AV35^2),IF(L36="","",IF(OR(L34="油入自冷",L34="モ－ルド絶縁"),IF(BA34=1,SQRT(AN34^2+AN35^2),IF(BA34=3,SQRT(AN36^2+AN37^2))),SQRT(AO34^2+AO35^2))))</f>
        <v/>
      </c>
      <c r="N35" s="676"/>
      <c r="O35" s="336"/>
      <c r="P35" s="364"/>
      <c r="Q35" s="338"/>
      <c r="R35" s="339"/>
      <c r="S35" s="112" t="str">
        <f t="shared" si="1"/>
        <v/>
      </c>
      <c r="T35" s="340"/>
      <c r="U35" s="268" t="str">
        <f>IF(OR(BA36="",S35=""),"",S35*1000*T35/(SQRT(BA34)*BA36))</f>
        <v/>
      </c>
      <c r="V35" s="679"/>
      <c r="W35" s="681"/>
      <c r="X35" s="685"/>
      <c r="Y35" s="686"/>
      <c r="Z35" s="687"/>
      <c r="AA35" s="705"/>
      <c r="AB35" s="707"/>
      <c r="AC35" s="686"/>
      <c r="AD35" s="687"/>
      <c r="AE35" s="709"/>
      <c r="AF35" s="113" t="str">
        <f>IF(OR(AF34="",AG30&lt;&gt;""),"",AF34*AQ35/SQRT(AT34^2+AT35^2))</f>
        <v/>
      </c>
      <c r="AG35" s="663" t="str">
        <f>IF(AG34="","",100*AG34*AQ35/BA36)</f>
        <v/>
      </c>
      <c r="AH35" s="664"/>
      <c r="AI35" s="665" t="str">
        <f>IF(BA36=0,"",IF(AI30="",AX36/SQRT(AT34^2+AT35^2),IF(AI38="","",IF(AT34&lt;0,-AX34*AQ31/SQRT(AT34^2+AT35^2),AX34*AQ31/SQRT(AT34^2+AT35^2)))))</f>
        <v/>
      </c>
      <c r="AJ35" s="661"/>
      <c r="AK35" s="662"/>
      <c r="AL35" s="269"/>
      <c r="AM35" s="72"/>
      <c r="AN35" s="105" t="b">
        <f>IF(BA34="","",IF(AND(VALUE(BA34)=1,L34="油入自冷"),VLOOKUP(L36,変１,F36-47,FALSE),IF(AND(VALUE(BA34)=1,L34="モールド絶縁"),VLOOKUP(L36,変１,F36-42,FALSE))))</f>
        <v>0</v>
      </c>
      <c r="AO35" s="105">
        <f>IF(ISNA(VLOOKUP(L36,変ＵＳＥＲ,3,FALSE)),0,VLOOKUP(L36,変ＵＳＥＲ,3,FALSE)*BA37/50)</f>
        <v>0</v>
      </c>
      <c r="AP35" s="106">
        <f>IF(W34="",0,W34*1000/BA36^2/SQRT(BA34))</f>
        <v>0</v>
      </c>
      <c r="AQ35" s="105">
        <f>IF(AND(VALUE(BA34)=1,VALUE(BA35)=2),1,IF(AND(VALUE(BA34)=3,VALUE(BA35)=3),1,IF(AND(VALUE(BA34)=1,VALUE(BA35)=3),2,IF(AND(VALUE(BA34)=3,VALUE(BA35)=4)*OR(VALUE(BB34)=1,VALUE(BB35)=1,VALUE(BB36)=1,VALUE(BB37)=1),1,SQRT(3)))))</f>
        <v>1.7320508075688772</v>
      </c>
      <c r="AR35" s="107" t="str">
        <f>IF(X34="","",IF(X34="600V IV",VLOOKUP(X36,ＩＶ,3,FALSE),IF(X34="600V CV-T",VLOOKUP(X36,ＣＶＴ,3,FALSE),IF(OR(X34="600V CV-1C",X34="600V CV-2C",X34="600V CV-3C",X34="600V CV-4C"),VLOOKUP(X36,ＣＶ２３Ｃ,3,FALSE),VLOOKUP(X36,ＣＵＳＥＲ,3,FALSE)))))</f>
        <v/>
      </c>
      <c r="AS35" s="105" t="str">
        <f>IF(AD37="",AP37,AP37+(AD37/1000))</f>
        <v/>
      </c>
      <c r="AT35" s="108" t="str">
        <f>IF(AU37="",AT37,AU37)</f>
        <v/>
      </c>
      <c r="AU35" s="108" t="str">
        <f>IF(D34="","",IF(AND(D38="",D42&lt;&gt;"",AV37=AV45),AT43,IF(AND(D38="",D42="",D46&lt;&gt;"",AV41=AV49),AT47,IF(AND(D38="",D42="",D46="",D50&lt;&gt;"",AV45=AV53),AT51,IF(AND(D38="",D42="",D46="",D50="",D54&lt;&gt;"",AV49=AV57),AT55,IF(AND(D38="",D42="",D46="",D50="",D54="",D58&lt;&gt;"",AV53=AV61),AT59,IF(AND(D38="",D42="",D46="",D50="",D54="",D58="",D62&lt;&gt;"",AV57=AV65),AT63,"")))))))</f>
        <v/>
      </c>
      <c r="AV35" s="107" t="str">
        <f>IF(L34="発電機",IF(ISNA(VLOOKUP(L36,ＡＣＧ,3,FALSE)),0,VLOOKUP(L36,ＡＣＧ,3,FALSE)*BA37/50),"")</f>
        <v/>
      </c>
      <c r="AW35" s="109" t="str">
        <f>IF(AT35="","",(AT35-AP34*(AT34^2+AT35^2))/((AT34*AP34)^2+(AP34*AT35-1)^2))</f>
        <v/>
      </c>
      <c r="AX35" s="110"/>
      <c r="AY35" s="334">
        <f>IF(N(AY37)=10^30,10^30,IF(N(AY41)=10^30,(N(AY37)*(N(AY40)^2+N(AY41)^2)+N(AY41)*(N(AY36)^2+N(AY37)^2))/((N(AY36)+N(AY40))^2+(N(AY37)+N(AY41))^2),(N(AY37)*(N(AY38)^2+N(AY39)^2)+N(AY39)*(N(AY36)^2+N(AY37)^2))/((N(AY36)+N(AY38))^2+(N(AY37)+N(AY39))^2)))</f>
        <v>1E+30</v>
      </c>
      <c r="AZ35" s="72"/>
      <c r="BA35" s="335">
        <f>IF(AND(H34="",SUM(S34:S37)&lt;&gt;0),BA31,H34)</f>
        <v>0</v>
      </c>
      <c r="BB35" s="285">
        <f t="shared" si="0"/>
        <v>0</v>
      </c>
      <c r="BC35" s="72"/>
      <c r="BD35" s="72"/>
    </row>
    <row r="36" spans="2:56" ht="15" customHeight="1" x14ac:dyDescent="0.15">
      <c r="B36" s="358"/>
      <c r="D36" s="648"/>
      <c r="E36" s="728"/>
      <c r="F36" s="688"/>
      <c r="G36" s="688"/>
      <c r="H36" s="688"/>
      <c r="I36" s="688"/>
      <c r="J36" s="688"/>
      <c r="K36" s="689"/>
      <c r="L36" s="690"/>
      <c r="M36" s="691"/>
      <c r="N36" s="676"/>
      <c r="O36" s="336"/>
      <c r="P36" s="339"/>
      <c r="Q36" s="342"/>
      <c r="R36" s="339"/>
      <c r="S36" s="112" t="str">
        <f t="shared" si="1"/>
        <v/>
      </c>
      <c r="T36" s="340"/>
      <c r="U36" s="114" t="str">
        <f>IF(OR(BA36="",S36=""),"",S36*1000*T36/(SQRT(BA34)*BA36))</f>
        <v/>
      </c>
      <c r="V36" s="115" t="str">
        <f>IF(AND(N(U34)=0,N(U35)=0,N(U36)=0,N(U37)=0),"",V34*(P34*R34*T34+P35*R35*T35+P36*R36*T36+P37*R37*T37)/(P34*T34+P35*T35+P36*T36+P37*T37))</f>
        <v/>
      </c>
      <c r="W36" s="692" t="str">
        <f>IF(AND(N(AP36)=0,N(AP37)=0,N(AP35)=0),"",IF(AP37&gt;=0,COS(ATAN(AP37/AP36)),-COS(ATAN(AP37/AP36))))</f>
        <v/>
      </c>
      <c r="X36" s="343"/>
      <c r="Y36" s="344"/>
      <c r="Z36" s="345"/>
      <c r="AA36" s="346"/>
      <c r="AB36" s="347"/>
      <c r="AC36" s="344"/>
      <c r="AD36" s="345"/>
      <c r="AE36" s="348"/>
      <c r="AF36" s="116" t="str">
        <f>IF(OR(AF34="",AG30&lt;&gt;""),"",BA36/SQRT(AW36^2+AW37^2))</f>
        <v/>
      </c>
      <c r="AG36" s="663" t="str">
        <f>IF(AG34="","",100*((BA36/AQ35)-AG34)/(BA36/AQ35))</f>
        <v/>
      </c>
      <c r="AH36" s="664"/>
      <c r="AI36" s="666"/>
      <c r="AJ36" s="667"/>
      <c r="AK36" s="669"/>
      <c r="AL36" s="349"/>
      <c r="AM36" s="72"/>
      <c r="AN36" s="117" t="b">
        <f>IF(BA34="","",IF(AND(VALUE(BA34)=3,L34="油入自冷"),VLOOKUP(L36,変３,F36-48,FALSE),IF(AND(VALUE(BA34)=3,L34="モールド絶縁"),VLOOKUP(L36,変３,F36-43,FALSE))))</f>
        <v>0</v>
      </c>
      <c r="AO36" s="107" t="str">
        <f>IF(AND(L30="",N(AY34)&lt;10^29),AY34,"")</f>
        <v/>
      </c>
      <c r="AP36" s="118" t="str">
        <f>IF(V34="","",IF(AND(N(V36)=0,N(AP35)=0),"",AQ36/((AQ36*AP35)^2+(AP35*AQ37-1)^2)))</f>
        <v/>
      </c>
      <c r="AQ36" s="105">
        <f>IF(N(V36)=0,10^30,V36)</f>
        <v>1E+30</v>
      </c>
      <c r="AR36" s="107" t="str">
        <f>IF(AB34="","",IF(AB34="600V IV",VLOOKUP(AB36,ＩＶ,2,FALSE),IF(AB34="600V CV-T",VLOOKUP(AB36,ＣＶＴ,2,FALSE),IF(OR(AB34="600V CV-1C",AB34="600V CV-2C",AB34="600V CV-3C",AB34="600V CV-4C"),VLOOKUP(AB36,ＣＶ２３Ｃ,2,FALSE),VLOOKUP(AB36,ＣＵＳＥＲ,2,FALSE)))))</f>
        <v/>
      </c>
      <c r="AS36" s="105" t="str">
        <f>IF(OR(AND(AS38="",AS39=""),AND(D34="",D38&lt;&gt;"")),AS34,(AS34*(AT38^2+AT39^2)+AT38*(AS34^2+AS35^2))/((AS34+AT38)^2+(AS35+AT39)^2))</f>
        <v/>
      </c>
      <c r="AT36" s="108" t="str">
        <f>IF(X37="",AS36,N(AS36)+(X37/1000))</f>
        <v/>
      </c>
      <c r="AU36" s="108" t="str">
        <f>IF(AU34="","",(AT36*(AU34^2+AU35^2)+AU34*(AT36^2+AT37^2))/((AT36+AU34)^2+(AT37+AU35)^2))</f>
        <v/>
      </c>
      <c r="AV36" s="108">
        <f>IF(BA36=0,1,0)</f>
        <v>1</v>
      </c>
      <c r="AW36" s="109" t="str">
        <f>IF(AO36="","",AW34+AO36)</f>
        <v/>
      </c>
      <c r="AX36" s="110" t="str">
        <f>IF(AND(AX32="",AW36&lt;&gt;""),BA36*SQRT(AW34^2+AW35^2)/SQRT(AW36^2+AW37^2),IF(BA36&lt;&gt;0,AX32,""))</f>
        <v/>
      </c>
      <c r="AY36" s="350">
        <f>IF(L36="",10^30,SQRT(BA34)*(BA36^2)*(N(AN34)+N(AN36)+N(AO34)+N(AV34))/(100000*L36*M34))</f>
        <v>1E+30</v>
      </c>
      <c r="AZ36" s="351"/>
      <c r="BA36" s="335">
        <f>IF(AND(J34="",SUM(S34:S37)&lt;&gt;0),BA32,J34)</f>
        <v>0</v>
      </c>
      <c r="BB36" s="285">
        <f t="shared" si="0"/>
        <v>0</v>
      </c>
      <c r="BC36" s="72"/>
      <c r="BD36" s="72"/>
    </row>
    <row r="37" spans="2:56" ht="15" customHeight="1" x14ac:dyDescent="0.15">
      <c r="B37" s="358"/>
      <c r="D37" s="649"/>
      <c r="E37" s="729"/>
      <c r="F37" s="694"/>
      <c r="G37" s="694"/>
      <c r="H37" s="694"/>
      <c r="I37" s="694"/>
      <c r="J37" s="694"/>
      <c r="K37" s="695"/>
      <c r="L37" s="696" t="str">
        <f>IF(M34="","",L36*1000*M34/(SQRT(BA34)*BA36))</f>
        <v/>
      </c>
      <c r="M37" s="697"/>
      <c r="N37" s="677"/>
      <c r="O37" s="352"/>
      <c r="P37" s="355"/>
      <c r="Q37" s="354"/>
      <c r="R37" s="355"/>
      <c r="S37" s="119" t="str">
        <f t="shared" si="1"/>
        <v/>
      </c>
      <c r="T37" s="356"/>
      <c r="U37" s="120" t="str">
        <f>IF(OR(BA36="",S37=""),"",S37*1000*T37/(SQRT(BA34)*BA36))</f>
        <v/>
      </c>
      <c r="V37" s="121" t="str">
        <f>IF(AND(N(U34)=0,N(U35)=0,N(U36)=0,N(U37)=0),"",IF(V34&gt;=0,SQRT(ABS(V34^2-V36^2)),-SQRT(V34^2-V36^2)))</f>
        <v/>
      </c>
      <c r="W37" s="693"/>
      <c r="X37" s="698" t="str">
        <f>IF(Y36="","",AQ34*Z36*AR34*((1+0.00393*(F37-20))/1.2751)/Y36)</f>
        <v/>
      </c>
      <c r="Y37" s="699"/>
      <c r="Z37" s="700" t="str">
        <f>IF(Y36="","",(BA37/50)*AQ34*Z36*AR35/Y36)</f>
        <v/>
      </c>
      <c r="AA37" s="701"/>
      <c r="AB37" s="702" t="str">
        <f>IF(AC36="","",AQ34*AD36*AR36*((1+0.00393*(F37-20))/1.2751)/AC36)</f>
        <v/>
      </c>
      <c r="AC37" s="699"/>
      <c r="AD37" s="700" t="str">
        <f>IF(AC36="","",(BA37/50)*AQ34*AD36*AR37/AC36)</f>
        <v/>
      </c>
      <c r="AE37" s="703"/>
      <c r="AF37" s="122" t="str">
        <f>IF(AND(AX34&lt;&gt;"",D34=""),AX34,"")</f>
        <v/>
      </c>
      <c r="AG37" s="698" t="str">
        <f>IF(AP36="","",AP36)</f>
        <v/>
      </c>
      <c r="AH37" s="699"/>
      <c r="AI37" s="123" t="str">
        <f>IF(AP37="","",AP37)</f>
        <v/>
      </c>
      <c r="AJ37" s="668"/>
      <c r="AK37" s="670"/>
      <c r="AL37" s="365"/>
      <c r="AM37" s="72"/>
      <c r="AN37" s="270" t="b">
        <f>IF(BA34="","",IF(AND(VALUE(BA34)=3,L34="油入自冷"),VLOOKUP(L36,変３,F36-47,FALSE),IF(AND(VALUE(BA34)=3,L34="モールド絶縁"),VLOOKUP(L36,変３,F36-42,FALSE))))</f>
        <v>0</v>
      </c>
      <c r="AO37" s="270" t="str">
        <f>IF(AND(L30="",N(AY35)&lt;10^29),AY35,"")</f>
        <v/>
      </c>
      <c r="AP37" s="271" t="str">
        <f>IF(V34="","",IF(AND(N(V37)=0,N(AP35)=0),0,(AQ37-AP35*(AQ36^2+AQ37^2))/((AQ36*AP35)^2+(AP35*AQ37-1)^2)))</f>
        <v/>
      </c>
      <c r="AQ37" s="272">
        <f>IF(N(V37)=0,10^30,V37)</f>
        <v>1E+30</v>
      </c>
      <c r="AR37" s="270" t="str">
        <f>IF(AB34="","",IF(AB34="600V IV",VLOOKUP(AB36,ＩＶ,3,FALSE),IF(AB34="600V CV-T",VLOOKUP(AB36,ＣＶＴ,3,FALSE),IF(OR(AB34="600V CV-1C",AB34="600V CV-2C",AB34="600V CV-3C",AB34="600V CV-4C"),VLOOKUP(AB36,ＣＶ２３Ｃ,3,FALSE),VLOOKUP(AB36,ＣＵＳＥＲ,3,FALSE)))))</f>
        <v/>
      </c>
      <c r="AS37" s="272" t="str">
        <f>IF(OR(AND(AS38="",AS39=""),AND(D34="",D38&lt;&gt;"")),AS35,(AS35*(AT38^2+AT39^2)+AT39*(AS34^2+AS35^2))/((AS34+AT38)^2+(AS35+AT39)^2))</f>
        <v/>
      </c>
      <c r="AT37" s="273" t="str">
        <f>IF(Z37="",AS37,N(AS37)+(Z37/1000))</f>
        <v/>
      </c>
      <c r="AU37" s="273" t="str">
        <f>IF(AU35="","",(AT37*(AU34^2+AU35^2)+AU35*(AT36^2+AT37^2))/((AT36+AU34)^2+(AT37+AU35)^2))</f>
        <v/>
      </c>
      <c r="AV37" s="273">
        <f>AV33+AV36</f>
        <v>4</v>
      </c>
      <c r="AW37" s="272" t="str">
        <f>IF(AO37="","",AW35+AO37)</f>
        <v/>
      </c>
      <c r="AX37" s="274"/>
      <c r="AY37" s="350">
        <f>IF(L36="",10^30,SQRT(BA34)*(BA36^2)*(N(AN35)+N(AN37)+N(AO35)+N(AV35))/(100000*L36*M34))</f>
        <v>1E+30</v>
      </c>
      <c r="AZ37" s="351"/>
      <c r="BA37" s="335">
        <f>IF(AND(F36="",SUM(S34:S37)&lt;&gt;0),BA33,F36)</f>
        <v>0</v>
      </c>
      <c r="BB37" s="285">
        <f t="shared" si="0"/>
        <v>0</v>
      </c>
      <c r="BC37" s="72"/>
      <c r="BD37" s="72"/>
    </row>
    <row r="38" spans="2:56" ht="15" customHeight="1" x14ac:dyDescent="0.15">
      <c r="B38" s="358"/>
      <c r="D38" s="647"/>
      <c r="E38" s="727"/>
      <c r="F38" s="653"/>
      <c r="G38" s="655" t="str">
        <f>IF(F38="","","φ")</f>
        <v/>
      </c>
      <c r="H38" s="657"/>
      <c r="I38" s="655" t="str">
        <f>IF(H38="","","W")</f>
        <v/>
      </c>
      <c r="J38" s="657"/>
      <c r="K38" s="671" t="str">
        <f>IF(J38="","","V")</f>
        <v/>
      </c>
      <c r="L38" s="673"/>
      <c r="M38" s="124"/>
      <c r="N38" s="675"/>
      <c r="O38" s="329"/>
      <c r="P38" s="332"/>
      <c r="Q38" s="331"/>
      <c r="R38" s="332"/>
      <c r="S38" s="265" t="str">
        <f t="shared" si="1"/>
        <v/>
      </c>
      <c r="T38" s="333"/>
      <c r="U38" s="266" t="str">
        <f>IF(OR(BA40="",S38=""),"",S38*1000*T38/(SQRT(BA38)*BA40))</f>
        <v/>
      </c>
      <c r="V38" s="678" t="str">
        <f>IF(AND(N(U38)=0,N(U39)=0,N(U40)=0,N(U41)=0),"",BA40/(SUM(U38:U41)))</f>
        <v/>
      </c>
      <c r="W38" s="680"/>
      <c r="X38" s="682"/>
      <c r="Y38" s="683"/>
      <c r="Z38" s="684"/>
      <c r="AA38" s="704"/>
      <c r="AB38" s="706"/>
      <c r="AC38" s="683"/>
      <c r="AD38" s="684"/>
      <c r="AE38" s="708"/>
      <c r="AF38" s="125" t="str">
        <f>IF(OR(AND(AF34="",N(BA36)=0,BA40&lt;&gt;0),D38&lt;&gt;""),AX40/AQ39,"")</f>
        <v/>
      </c>
      <c r="AG38" s="710" t="str">
        <f>IF(BA40=0,"",IF(AD40="",AX38,IF(AND(D38&lt;&gt;"",AU38=""),AX40*SQRT(AP40^2+AP41^2)/SQRT(AS38^2+AS39^2)/AQ39,AX38*SQRT(AP40^2+AP41^2)/SQRT(AS38^2+AS39^2))))</f>
        <v/>
      </c>
      <c r="AH38" s="711"/>
      <c r="AI38" s="126" t="str">
        <f>IF(AG38="","",IF(N(U38)&lt;0,-AX38*AQ39/SQRT(AS38^2+AS39^2),AX38*AQ39/SQRT(AS38^2+AS39^2)))</f>
        <v/>
      </c>
      <c r="AJ38" s="659"/>
      <c r="AK38" s="660"/>
      <c r="AL38" s="267"/>
      <c r="AM38" s="72"/>
      <c r="AN38" s="105" t="b">
        <f>IF(BA38="","",IF(AND(VALUE(BA38)=1,L38="油入自冷"),VLOOKUP(L40,変１,F40-48,FALSE),IF(AND(VALUE(BA38)=1,L38="モールド絶縁"),VLOOKUP(L40,変１,F40-43,FALSE))))</f>
        <v>0</v>
      </c>
      <c r="AO38" s="105">
        <f>IF(ISNA(VLOOKUP(L40,変ＵＳＥＲ,2,FALSE)),0,VLOOKUP(L40,変ＵＳＥＲ,2,FALSE))</f>
        <v>0</v>
      </c>
      <c r="AP38" s="106">
        <f>IF(N38="",0,N38*1000/BA40^2/SQRT(BA38))</f>
        <v>0</v>
      </c>
      <c r="AQ38" s="105" t="b">
        <f>IF(VALUE(BA38)=1,2,IF(BA38=3,SQRT(3),FALSE))</f>
        <v>0</v>
      </c>
      <c r="AR38" s="107" t="str">
        <f>IF(X38="","",IF(X38="600V IV",VLOOKUP(X40,ＩＶ,2,FALSE),IF(X38="600V CV-T",VLOOKUP(X40,ＣＶＴ,2,FALSE),IF(OR(X38="600V CV-1C",X38="600V CV-2C",X38="600V CV-3C",X38="600V CV-4C"),VLOOKUP(X40,ＣＶ２３Ｃ,2,FALSE),VLOOKUP(X40,ＣＵＳＥＲ,2,FALSE)))))</f>
        <v/>
      </c>
      <c r="AS38" s="105" t="str">
        <f>IF(AB41="",AP40,AP40+(AB41/1000))</f>
        <v/>
      </c>
      <c r="AT38" s="108" t="str">
        <f>IF(AU40="",AT40,AU40)</f>
        <v/>
      </c>
      <c r="AU38" s="108" t="str">
        <f>IF(D38="","",IF(AND(D42="",D46&lt;&gt;"",AV41=AV49),AT46,IF(AND(D42="",D46="",D50&lt;&gt;"",AV45=AV53),AT50,IF(AND(D42="",D46="",D50="",D54&lt;&gt;"",AV49=AV57),AT54,IF(AND(D42="",D46="",D50="",D54="",D58&lt;&gt;"",AV53=AV61),AT58,IF(AND(D42="",D46="",D50="",D54="",D58="",D62&lt;&gt;"",AV57=AV65),AT62,IF(AND(D42="",D46="",D50="",D54="",D58="",D62="",D66&lt;&gt;"",AV61=AV69),AT66,"")))))))</f>
        <v/>
      </c>
      <c r="AV38" s="108" t="str">
        <f>IF(L38="発電機",IF(ISNA(VLOOKUP(L40,ＡＣＧ,2,FALSE)),0,VLOOKUP(L40,ＡＣＧ,2,FALSE)),"")</f>
        <v/>
      </c>
      <c r="AW38" s="109" t="str">
        <f>IF(AT38="","",AT38/((AT38*AP38)^2+(AT39*AP38-1)^2))</f>
        <v/>
      </c>
      <c r="AX38" s="110" t="str">
        <f>IF(BA40=0,"",IF(OR(AX34="",AF38&lt;&gt;""),AF38*SQRT(AS40^2+AS41^2)/SQRT(AT40^2+AT41^2),AX34*SQRT(AS40^2+AS41^2)/SQRT(AT40^2+AT41^2)))</f>
        <v/>
      </c>
      <c r="AY38" s="334">
        <f>IF(N(AY40)=10^30,10^30,IF(N(AY44)=10^30,(N(AY40)*(N(AY44)^2+N(AY45)^2)+N(AY44)*(N(AY40)^2+N(AY41)^2))/((N(AY40)+N(AY44))^2+(N(AY41)+N(AY45))^2),(N(AY40)*(N(AY42)^2+N(AY43)^2)+N(AY42)*(N(AY40)^2+N(AY41)^2))/((N(AY40)+N(AY42))^2+(N(AY41)+N(AY43))^2)))</f>
        <v>1E+30</v>
      </c>
      <c r="AZ38" s="72"/>
      <c r="BA38" s="335">
        <f>IF(AND(F38="",SUM(S38:S41)&lt;&gt;0),BA34,F38)</f>
        <v>0</v>
      </c>
      <c r="BB38" s="285">
        <f t="shared" si="0"/>
        <v>0</v>
      </c>
      <c r="BC38" s="72"/>
      <c r="BD38" s="72"/>
    </row>
    <row r="39" spans="2:56" ht="15" customHeight="1" x14ac:dyDescent="0.15">
      <c r="B39" s="358"/>
      <c r="D39" s="648"/>
      <c r="E39" s="728"/>
      <c r="F39" s="654"/>
      <c r="G39" s="656"/>
      <c r="H39" s="658"/>
      <c r="I39" s="656"/>
      <c r="J39" s="658"/>
      <c r="K39" s="672"/>
      <c r="L39" s="674"/>
      <c r="M39" s="111" t="str">
        <f>IF(L38="発電機",SQRT(AV38^2+AV39^2),IF(L40="","",IF(OR(L38="油入自冷",L38="モ－ルド絶縁"),IF(BA38=1,SQRT(AN38^2+AN39^2),IF(BA38=3,SQRT(AN40^2+AN41^2))),SQRT(AO38^2+AO39^2))))</f>
        <v/>
      </c>
      <c r="N39" s="676"/>
      <c r="O39" s="336"/>
      <c r="P39" s="364"/>
      <c r="Q39" s="338"/>
      <c r="R39" s="339"/>
      <c r="S39" s="112" t="str">
        <f t="shared" si="1"/>
        <v/>
      </c>
      <c r="T39" s="340"/>
      <c r="U39" s="268" t="str">
        <f>IF(OR(BA40="",S39=""),"",S39*1000*T39/(SQRT(BA38)*BA40))</f>
        <v/>
      </c>
      <c r="V39" s="679"/>
      <c r="W39" s="681"/>
      <c r="X39" s="685"/>
      <c r="Y39" s="686"/>
      <c r="Z39" s="687"/>
      <c r="AA39" s="705"/>
      <c r="AB39" s="707"/>
      <c r="AC39" s="686"/>
      <c r="AD39" s="687"/>
      <c r="AE39" s="709"/>
      <c r="AF39" s="113" t="str">
        <f>IF(OR(AF38="",AG34&lt;&gt;""),"",AF38*AQ39/SQRT(AT38^2+AT39^2))</f>
        <v/>
      </c>
      <c r="AG39" s="663" t="str">
        <f>IF(AG38="","",100*AG38*AQ39/BA40)</f>
        <v/>
      </c>
      <c r="AH39" s="664"/>
      <c r="AI39" s="665" t="str">
        <f>IF(BA40=0,"",IF(AI34="",AX40/SQRT(AT38^2+AT39^2),IF(AI42="","",IF(AT38&lt;0,-AX38*AQ35/SQRT(AT38^2+AT39^2),AX38*AQ35/SQRT(AT38^2+AT39^2)))))</f>
        <v/>
      </c>
      <c r="AJ39" s="661"/>
      <c r="AK39" s="662"/>
      <c r="AL39" s="269"/>
      <c r="AM39" s="72"/>
      <c r="AN39" s="105" t="b">
        <f>IF(BA38="","",IF(AND(VALUE(BA38)=1,L38="油入自冷"),VLOOKUP(L40,変１,F40-47,FALSE),IF(AND(VALUE(BA38)=1,L38="モールド絶縁"),VLOOKUP(L40,変１,F40-42,FALSE))))</f>
        <v>0</v>
      </c>
      <c r="AO39" s="105">
        <f>IF(ISNA(VLOOKUP(L40,変ＵＳＥＲ,3,FALSE)),0,VLOOKUP(L40,変ＵＳＥＲ,3,FALSE)*BA41/50)</f>
        <v>0</v>
      </c>
      <c r="AP39" s="106">
        <f>IF(W38="",0,W38*1000/BA40^2/SQRT(BA38))</f>
        <v>0</v>
      </c>
      <c r="AQ39" s="105">
        <f>IF(AND(VALUE(BA38)=1,VALUE(BA39)=2),1,IF(AND(VALUE(BA38)=3,VALUE(BA39)=3),1,IF(AND(VALUE(BA38)=1,VALUE(BA39)=3),2,IF(AND(VALUE(BA38)=3,VALUE(BA39)=4)*OR(VALUE(BB38)=1,VALUE(BB39)=1,VALUE(BB40)=1,VALUE(BB41)=1),1,SQRT(3)))))</f>
        <v>1.7320508075688772</v>
      </c>
      <c r="AR39" s="107" t="str">
        <f>IF(X38="","",IF(X38="600V IV",VLOOKUP(X40,ＩＶ,3,FALSE),IF(X38="600V CV-T",VLOOKUP(X40,ＣＶＴ,3,FALSE),IF(OR(X38="600V CV-1C",X38="600V CV-2C",X38="600V CV-3C",X38="600V CV-4C"),VLOOKUP(X40,ＣＶ２３Ｃ,3,FALSE),VLOOKUP(X40,ＣＵＳＥＲ,3,FALSE)))))</f>
        <v/>
      </c>
      <c r="AS39" s="105" t="str">
        <f>IF(AD41="",AP41,AP41+(AD41/1000))</f>
        <v/>
      </c>
      <c r="AT39" s="108" t="str">
        <f>IF(AU41="",AT41,AU41)</f>
        <v/>
      </c>
      <c r="AU39" s="108" t="str">
        <f>IF(D38="","",IF(AND(D42="",D46&lt;&gt;"",AV41=AV49),AT47,IF(AND(D42="",D46="",D50&lt;&gt;"",AV45=AV53),AT51,IF(AND(D42="",D46="",D50="",D54&lt;&gt;"",AV49=AV57),AT55,IF(AND(D42="",D46="",D50="",D54="",D58&lt;&gt;"",AV53=AV61),AT59,IF(AND(D42="",D46="",D50="",D54="",D58="",D62&lt;&gt;"",AV57=AV65),AT63,IF(AND(D42="",D46="",D50="",D54="",D58="",D62="",D66&lt;&gt;"",AV61=AV69),AT67,"")))))))</f>
        <v/>
      </c>
      <c r="AV39" s="107" t="str">
        <f>IF(L38="発電機",IF(ISNA(VLOOKUP(L40,ＡＣＧ,3,FALSE)),0,VLOOKUP(L40,ＡＣＧ,3,FALSE)*BA41/50),"")</f>
        <v/>
      </c>
      <c r="AW39" s="109" t="str">
        <f>IF(AT39="","",(AT39-AP38*(AT38^2+AT39^2))/((AT38*AP38)^2+(AP38*AT39-1)^2))</f>
        <v/>
      </c>
      <c r="AX39" s="110"/>
      <c r="AY39" s="334">
        <f>IF(N(AY41)=10^30,10^30,IF(N(AY45)=10^30,(N(AY41)*(N(AY44)^2+N(AY45)^2)+N(AY45)*(N(AY40)^2+N(AY41)^2))/((N(AY40)+N(AY44))^2+(N(AY41)+N(AY45))^2),(N(AY41)*(N(AY42)^2+N(AY43)^2)+N(AY43)*(N(AY40)^2+N(AY41)^2))/((N(AY40)+N(AY42))^2+(N(AY41)+N(AY43))^2)))</f>
        <v>1E+30</v>
      </c>
      <c r="AZ39" s="72"/>
      <c r="BA39" s="335">
        <f>IF(AND(H38="",SUM(S38:S41)&lt;&gt;0),BA35,H38)</f>
        <v>0</v>
      </c>
      <c r="BB39" s="285">
        <f t="shared" si="0"/>
        <v>0</v>
      </c>
      <c r="BC39" s="72"/>
      <c r="BD39" s="72"/>
    </row>
    <row r="40" spans="2:56" ht="15" customHeight="1" x14ac:dyDescent="0.15">
      <c r="B40" s="358"/>
      <c r="D40" s="648"/>
      <c r="E40" s="728"/>
      <c r="F40" s="688"/>
      <c r="G40" s="688"/>
      <c r="H40" s="688"/>
      <c r="I40" s="688"/>
      <c r="J40" s="688"/>
      <c r="K40" s="689"/>
      <c r="L40" s="690"/>
      <c r="M40" s="691"/>
      <c r="N40" s="676"/>
      <c r="O40" s="336"/>
      <c r="P40" s="339"/>
      <c r="Q40" s="342"/>
      <c r="R40" s="339"/>
      <c r="S40" s="112" t="str">
        <f t="shared" si="1"/>
        <v/>
      </c>
      <c r="T40" s="340"/>
      <c r="U40" s="114" t="str">
        <f>IF(OR(BA40="",S40=""),"",S40*1000*T40/(SQRT(BA38)*BA40))</f>
        <v/>
      </c>
      <c r="V40" s="115" t="str">
        <f>IF(AND(N(U38)=0,N(U39)=0,N(U40)=0,N(U41)=0),"",V38*(P38*R38*T38+P39*R39*T39+P40*R40*T40+P41*R41*T41)/(P38*T38+P39*T39+P40*T40+P41*T41))</f>
        <v/>
      </c>
      <c r="W40" s="692" t="str">
        <f>IF(AND(N(AP40)=0,N(AP41)=0,N(AP39)=0),"",IF(AP41&gt;=0,COS(ATAN(AP41/AP40)),-COS(ATAN(AP41/AP40))))</f>
        <v/>
      </c>
      <c r="X40" s="343"/>
      <c r="Y40" s="344"/>
      <c r="Z40" s="345"/>
      <c r="AA40" s="346"/>
      <c r="AB40" s="347"/>
      <c r="AC40" s="344"/>
      <c r="AD40" s="345"/>
      <c r="AE40" s="348"/>
      <c r="AF40" s="116" t="str">
        <f>IF(OR(AF38="",AG34&lt;&gt;""),"",BA40/SQRT(AW40^2+AW41^2))</f>
        <v/>
      </c>
      <c r="AG40" s="663" t="str">
        <f>IF(AG38="","",100*((BA40/AQ39)-AG38)/(BA40/AQ39))</f>
        <v/>
      </c>
      <c r="AH40" s="664"/>
      <c r="AI40" s="666"/>
      <c r="AJ40" s="667"/>
      <c r="AK40" s="669"/>
      <c r="AL40" s="349"/>
      <c r="AM40" s="72"/>
      <c r="AN40" s="117" t="b">
        <f>IF(BA38="","",IF(AND(VALUE(BA38)=3,L38="油入自冷"),VLOOKUP(L40,変３,F40-48,FALSE),IF(AND(VALUE(BA38)=3,L38="モールド絶縁"),VLOOKUP(L40,変３,F40-43,FALSE))))</f>
        <v>0</v>
      </c>
      <c r="AO40" s="107" t="str">
        <f>IF(AND(L34="",N(AY38)&lt;10^29),AY38,"")</f>
        <v/>
      </c>
      <c r="AP40" s="118" t="str">
        <f>IF(V38="","",IF(AND(N(V40)=0,N(AP39)=0),"",AQ40/((AQ40*AP39)^2+(AP39*AQ41-1)^2)))</f>
        <v/>
      </c>
      <c r="AQ40" s="105">
        <f>IF(N(V40)=0,10^30,V40)</f>
        <v>1E+30</v>
      </c>
      <c r="AR40" s="107" t="str">
        <f>IF(AB38="","",IF(AB38="600V IV",VLOOKUP(AB40,ＩＶ,2,FALSE),IF(AB38="600V CV-T",VLOOKUP(AB40,ＣＶＴ,2,FALSE),IF(OR(AB38="600V CV-1C",AB38="600V CV-2C",AB38="600V CV-3C",AB38="600V CV-4C"),VLOOKUP(AB40,ＣＶ２３Ｃ,2,FALSE),VLOOKUP(AB40,ＣＵＳＥＲ,2,FALSE)))))</f>
        <v/>
      </c>
      <c r="AS40" s="105" t="str">
        <f>IF(OR(AND(AS42="",AS43=""),AND(D38="",D42&lt;&gt;"")),AS38,(AS38*(AT42^2+AT43^2)+AT42*(AS38^2+AS39^2))/((AS38+AT42)^2+(AS39+AT43)^2))</f>
        <v/>
      </c>
      <c r="AT40" s="108" t="str">
        <f>IF(X41="",AS40,N(AS40)+(X41/1000))</f>
        <v/>
      </c>
      <c r="AU40" s="108" t="str">
        <f>IF(AU38="","",(AT40*(AU38^2+AU39^2)+AU38*(AT40^2+AT41^2))/((AT40+AU38)^2+(AT41+AU39)^2))</f>
        <v/>
      </c>
      <c r="AV40" s="108">
        <f>IF(BA40=0,1,0)</f>
        <v>1</v>
      </c>
      <c r="AW40" s="109" t="str">
        <f>IF(AO40="","",AW38+AO40)</f>
        <v/>
      </c>
      <c r="AX40" s="110" t="str">
        <f>IF(AND(AX36="",AW40&lt;&gt;""),BA40*SQRT(AW38^2+AW39^2)/SQRT(AW40^2+AW41^2),IF(BA40&lt;&gt;0,AX36,""))</f>
        <v/>
      </c>
      <c r="AY40" s="350">
        <f>IF(L40="",10^30,SQRT(BA38)*(BA40^2)*(N(AN38)+N(AN40)+N(AO38)+N(AV38))/(100000*L40*M38))</f>
        <v>1E+30</v>
      </c>
      <c r="AZ40" s="351"/>
      <c r="BA40" s="335">
        <f>IF(AND(J38="",SUM(S38:S41)&lt;&gt;0),BA36,J38)</f>
        <v>0</v>
      </c>
      <c r="BB40" s="285">
        <f t="shared" si="0"/>
        <v>0</v>
      </c>
      <c r="BC40" s="72"/>
      <c r="BD40" s="72"/>
    </row>
    <row r="41" spans="2:56" ht="15" customHeight="1" x14ac:dyDescent="0.15">
      <c r="B41" s="358"/>
      <c r="D41" s="649"/>
      <c r="E41" s="729"/>
      <c r="F41" s="694"/>
      <c r="G41" s="694"/>
      <c r="H41" s="694"/>
      <c r="I41" s="694"/>
      <c r="J41" s="694"/>
      <c r="K41" s="695"/>
      <c r="L41" s="696" t="str">
        <f>IF(M38="","",L40*1000*M38/(SQRT(BA38)*BA40))</f>
        <v/>
      </c>
      <c r="M41" s="697"/>
      <c r="N41" s="677"/>
      <c r="O41" s="352"/>
      <c r="P41" s="355"/>
      <c r="Q41" s="354"/>
      <c r="R41" s="355"/>
      <c r="S41" s="119" t="str">
        <f t="shared" si="1"/>
        <v/>
      </c>
      <c r="T41" s="356"/>
      <c r="U41" s="120" t="str">
        <f>IF(OR(BA40="",S41=""),"",S41*1000*T41/(SQRT(BA38)*BA40))</f>
        <v/>
      </c>
      <c r="V41" s="121" t="str">
        <f>IF(AND(N(U38)=0,N(U39)=0,N(U40)=0,N(U41)=0),"",IF(V38&gt;=0,SQRT(ABS(V38^2-V40^2)),-SQRT(V38^2-V40^2)))</f>
        <v/>
      </c>
      <c r="W41" s="693"/>
      <c r="X41" s="698" t="str">
        <f>IF(Y40="","",AQ38*Z40*AR38*((1+0.00393*(F41-20))/1.2751)/Y40)</f>
        <v/>
      </c>
      <c r="Y41" s="699"/>
      <c r="Z41" s="700" t="str">
        <f>IF(Y40="","",(BA41/50)*AQ38*Z40*AR39/Y40)</f>
        <v/>
      </c>
      <c r="AA41" s="701"/>
      <c r="AB41" s="702" t="str">
        <f>IF(AC40="","",AQ38*AD40*AR40*((1+0.00393*(F41-20))/1.2751)/AC40)</f>
        <v/>
      </c>
      <c r="AC41" s="699"/>
      <c r="AD41" s="700" t="str">
        <f>IF(AC40="","",(BA41/50)*AQ38*AD40*AR41/AC40)</f>
        <v/>
      </c>
      <c r="AE41" s="703"/>
      <c r="AF41" s="122" t="str">
        <f>IF(AND(AX38&lt;&gt;"",D38=""),AX38,"")</f>
        <v/>
      </c>
      <c r="AG41" s="698" t="str">
        <f>IF(AP40="","",AP40)</f>
        <v/>
      </c>
      <c r="AH41" s="699"/>
      <c r="AI41" s="123" t="str">
        <f>IF(AP41="","",AP41)</f>
        <v/>
      </c>
      <c r="AJ41" s="668"/>
      <c r="AK41" s="670"/>
      <c r="AL41" s="365"/>
      <c r="AM41" s="72"/>
      <c r="AN41" s="270" t="b">
        <f>IF(BA38="","",IF(AND(VALUE(BA38)=3,L38="油入自冷"),VLOOKUP(L40,変３,F40-47,FALSE),IF(AND(VALUE(BA38)=3,L38="モールド絶縁"),VLOOKUP(L40,変３,F40-42,FALSE))))</f>
        <v>0</v>
      </c>
      <c r="AO41" s="270" t="str">
        <f>IF(AND(L34="",N(AY39)&lt;10^29),AY39,"")</f>
        <v/>
      </c>
      <c r="AP41" s="271" t="str">
        <f>IF(V38="","",IF(AND(N(V41)=0,N(AP39)=0),0,(AQ41-AP39*(AQ40^2+AQ41^2))/((AQ40*AP39)^2+(AP39*AQ41-1)^2)))</f>
        <v/>
      </c>
      <c r="AQ41" s="272">
        <f>IF(N(V41)=0,10^30,V41)</f>
        <v>1E+30</v>
      </c>
      <c r="AR41" s="270" t="str">
        <f>IF(AB38="","",IF(AB38="600V IV",VLOOKUP(AB40,ＩＶ,3,FALSE),IF(AB38="600V CV-T",VLOOKUP(AB40,ＣＶＴ,3,FALSE),IF(OR(AB38="600V CV-1C",AB38="600V CV-2C",AB38="600V CV-3C",AB38="600V CV-4C"),VLOOKUP(AB40,ＣＶ２３Ｃ,3,FALSE),VLOOKUP(AB40,ＣＵＳＥＲ,3,FALSE)))))</f>
        <v/>
      </c>
      <c r="AS41" s="272" t="str">
        <f>IF(OR(AND(AS42="",AS43=""),AND(D38="",D42&lt;&gt;"")),AS39,(AS39*(AT42^2+AT43^2)+AT43*(AS38^2+AS39^2))/((AS38+AT42)^2+(AS39+AT43)^2))</f>
        <v/>
      </c>
      <c r="AT41" s="273" t="str">
        <f>IF(Z41="",AS41,N(AS41)+(Z41/1000))</f>
        <v/>
      </c>
      <c r="AU41" s="273" t="str">
        <f>IF(AU39="","",(AT41*(AU38^2+AU39^2)+AU39*(AT40^2+AT41^2))/((AT40+AU38)^2+(AT41+AU39)^2))</f>
        <v/>
      </c>
      <c r="AV41" s="273">
        <f>AV37+AV40</f>
        <v>5</v>
      </c>
      <c r="AW41" s="272" t="str">
        <f>IF(AO41="","",AW39+AO41)</f>
        <v/>
      </c>
      <c r="AX41" s="274"/>
      <c r="AY41" s="350">
        <f>IF(L40="",10^30,SQRT(BA38)*(BA40^2)*(N(AN39)+N(AN41)+N(AO39)+N(AV39))/(100000*L40*M38))</f>
        <v>1E+30</v>
      </c>
      <c r="AZ41" s="351"/>
      <c r="BA41" s="335">
        <f>IF(AND(F40="",SUM(S38:S41)&lt;&gt;0),BA37,F40)</f>
        <v>0</v>
      </c>
      <c r="BB41" s="285">
        <f t="shared" si="0"/>
        <v>0</v>
      </c>
      <c r="BC41" s="72"/>
      <c r="BD41" s="72"/>
    </row>
    <row r="42" spans="2:56" ht="15" customHeight="1" x14ac:dyDescent="0.15">
      <c r="B42" s="358"/>
      <c r="D42" s="647"/>
      <c r="E42" s="727"/>
      <c r="F42" s="653"/>
      <c r="G42" s="655" t="str">
        <f>IF(F42="","","φ")</f>
        <v/>
      </c>
      <c r="H42" s="657"/>
      <c r="I42" s="655" t="str">
        <f>IF(H42="","","W")</f>
        <v/>
      </c>
      <c r="J42" s="657"/>
      <c r="K42" s="671" t="str">
        <f>IF(J42="","","V")</f>
        <v/>
      </c>
      <c r="L42" s="673"/>
      <c r="M42" s="124"/>
      <c r="N42" s="675"/>
      <c r="O42" s="329"/>
      <c r="P42" s="330"/>
      <c r="Q42" s="331"/>
      <c r="R42" s="332"/>
      <c r="S42" s="265" t="str">
        <f t="shared" si="1"/>
        <v/>
      </c>
      <c r="T42" s="333"/>
      <c r="U42" s="266" t="str">
        <f>IF(OR(BA44="",S42=""),"",S42*1000*T42/(SQRT(BA42)*BA44))</f>
        <v/>
      </c>
      <c r="V42" s="678" t="str">
        <f>IF(AND(N(U42)=0,N(U43)=0,N(U44)=0,N(U45)=0),"",BA44/(SUM(U42:U45)))</f>
        <v/>
      </c>
      <c r="W42" s="680"/>
      <c r="X42" s="682"/>
      <c r="Y42" s="683"/>
      <c r="Z42" s="684"/>
      <c r="AA42" s="704"/>
      <c r="AB42" s="706"/>
      <c r="AC42" s="683"/>
      <c r="AD42" s="684"/>
      <c r="AE42" s="708"/>
      <c r="AF42" s="125" t="str">
        <f>IF(OR(AND(AF38="",N(BA40)=0,BA44&lt;&gt;0),D42&lt;&gt;""),AX44/AQ43,"")</f>
        <v/>
      </c>
      <c r="AG42" s="710" t="str">
        <f>IF(BA44=0,"",IF(AD44="",AX42,IF(AND(D42&lt;&gt;"",AU42=""),AX44*SQRT(AP44^2+AP45^2)/SQRT(AS42^2+AS43^2)/AQ43,AX42*SQRT(AP44^2+AP45^2)/SQRT(AS42^2+AS43^2))))</f>
        <v/>
      </c>
      <c r="AH42" s="711"/>
      <c r="AI42" s="126" t="str">
        <f>IF(AG42="","",IF(N(U42)&lt;0,-AX42*AQ43/SQRT(AS42^2+AS43^2),AX42*AQ43/SQRT(AS42^2+AS43^2)))</f>
        <v/>
      </c>
      <c r="AJ42" s="659"/>
      <c r="AK42" s="660"/>
      <c r="AL42" s="267"/>
      <c r="AM42" s="72"/>
      <c r="AN42" s="105" t="b">
        <f>IF(BA42="","",IF(AND(VALUE(BA42)=1,L42="油入自冷"),VLOOKUP(L44,変１,F44-48,FALSE),IF(AND(VALUE(BA42)=1,L42="モールド絶縁"),VLOOKUP(L44,変１,F44-43,FALSE))))</f>
        <v>0</v>
      </c>
      <c r="AO42" s="105">
        <f>IF(ISNA(VLOOKUP(L44,変ＵＳＥＲ,2,FALSE)),0,VLOOKUP(L44,変ＵＳＥＲ,2,FALSE))</f>
        <v>0</v>
      </c>
      <c r="AP42" s="106">
        <f>IF(N42="",0,N42*1000/BA44^2/SQRT(BA42))</f>
        <v>0</v>
      </c>
      <c r="AQ42" s="105" t="b">
        <f>IF(VALUE(BA42)=1,2,IF(BA42=3,SQRT(3),FALSE))</f>
        <v>0</v>
      </c>
      <c r="AR42" s="107" t="str">
        <f>IF(X42="","",IF(X42="600V IV",VLOOKUP(X44,ＩＶ,2,FALSE),IF(X42="600V CV-T",VLOOKUP(X44,ＣＶＴ,2,FALSE),IF(OR(X42="600V CV-1C",X42="600V CV-2C",X42="600V CV-3C",X42="600V CV-4C"),VLOOKUP(X44,ＣＶ２３Ｃ,2,FALSE),VLOOKUP(X44,ＣＵＳＥＲ,2,FALSE)))))</f>
        <v/>
      </c>
      <c r="AS42" s="105" t="str">
        <f>IF(AB45="",AP44,AP44+(AB45/1000))</f>
        <v/>
      </c>
      <c r="AT42" s="108" t="str">
        <f>IF(AU44="",AT44,AU44)</f>
        <v/>
      </c>
      <c r="AU42" s="108" t="str">
        <f>IF(D42="","",IF(AND(D46="",D50&lt;&gt;"",AV45=AV53),AT50,IF(AND(D46="",D50="",D54&lt;&gt;"",AV49=AV57),AT54,IF(AND(D46="",D50="",D54="",D58&lt;&gt;"",AV53=AV61),AT58,IF(AND(D46="",D50="",D54="",D58="",D62&lt;&gt;"",AV57=AV65),AT62,IF(AND(D46="",D50="",D54="",D58="",D62="",D66&lt;&gt;"",AV61=AV69),AT66,IF(AND(D46="",D50="",D54="",D58="",D62="",D66="",D70&lt;&gt;"",AV65=AV73),AT70,"")))))))</f>
        <v/>
      </c>
      <c r="AV42" s="108" t="str">
        <f>IF(L42="発電機",IF(ISNA(VLOOKUP(L44,ＡＣＧ,2,FALSE)),0,VLOOKUP(L44,ＡＣＧ,2,FALSE)),"")</f>
        <v/>
      </c>
      <c r="AW42" s="109" t="str">
        <f>IF(AT42="","",AT42/((AT42*AP42)^2+(AT43*AP42-1)^2))</f>
        <v/>
      </c>
      <c r="AX42" s="110" t="str">
        <f>IF(BA44=0,"",IF(OR(AX38="",AF42&lt;&gt;""),AF42*SQRT(AS44^2+AS45^2)/SQRT(AT44^2+AT45^2),AX38*SQRT(AS44^2+AS45^2)/SQRT(AT44^2+AT45^2)))</f>
        <v/>
      </c>
      <c r="AY42" s="334">
        <f>IF(N(AY44)=10^30,10^30,IF(N(AY48)=10^30,(N(AY44)*(N(AY48)^2+N(AY49)^2)+N(AY48)*(N(AY44)^2+N(AY45)^2))/((N(AY44)+N(AY48))^2+(N(AY45)+N(AY49))^2),(N(AY44)*(N(AY46)^2+N(AY47)^2)+N(AY46)*(N(AY44)^2+N(AY45)^2))/((N(AY44)+N(AY46))^2+(N(AY45)+N(AY47))^2)))</f>
        <v>1E+30</v>
      </c>
      <c r="AZ42" s="72"/>
      <c r="BA42" s="335">
        <f>IF(AND(F42="",SUM(S42:S45)&lt;&gt;0),BA38,F42)</f>
        <v>0</v>
      </c>
      <c r="BB42" s="285">
        <f t="shared" si="0"/>
        <v>0</v>
      </c>
      <c r="BC42" s="72"/>
      <c r="BD42" s="72"/>
    </row>
    <row r="43" spans="2:56" ht="15" customHeight="1" x14ac:dyDescent="0.15">
      <c r="B43" s="358"/>
      <c r="D43" s="648"/>
      <c r="E43" s="728"/>
      <c r="F43" s="654"/>
      <c r="G43" s="656"/>
      <c r="H43" s="658"/>
      <c r="I43" s="656"/>
      <c r="J43" s="658"/>
      <c r="K43" s="672"/>
      <c r="L43" s="674"/>
      <c r="M43" s="111" t="str">
        <f>IF(L42="発電機",SQRT(AV42^2+AV43^2),IF(L44="","",IF(OR(L42="油入自冷",L42="モ－ルド絶縁"),IF(BA42=1,SQRT(AN42^2+AN43^2),IF(BA42=3,SQRT(AN44^2+AN45^2))),SQRT(AO42^2+AO43^2))))</f>
        <v/>
      </c>
      <c r="N43" s="676"/>
      <c r="O43" s="336"/>
      <c r="P43" s="364"/>
      <c r="Q43" s="338"/>
      <c r="R43" s="339"/>
      <c r="S43" s="112" t="str">
        <f t="shared" si="1"/>
        <v/>
      </c>
      <c r="T43" s="340"/>
      <c r="U43" s="268" t="str">
        <f>IF(OR(BA44="",S43=""),"",S43*1000*T43/(SQRT(BA42)*BA44))</f>
        <v/>
      </c>
      <c r="V43" s="679"/>
      <c r="W43" s="681"/>
      <c r="X43" s="685"/>
      <c r="Y43" s="686"/>
      <c r="Z43" s="687"/>
      <c r="AA43" s="705"/>
      <c r="AB43" s="707"/>
      <c r="AC43" s="686"/>
      <c r="AD43" s="687"/>
      <c r="AE43" s="709"/>
      <c r="AF43" s="113" t="str">
        <f>IF(OR(AF42="",AG38&lt;&gt;""),"",AF42*AQ43/SQRT(AT42^2+AT43^2))</f>
        <v/>
      </c>
      <c r="AG43" s="663" t="str">
        <f>IF(AG42="","",100*AG42*AQ43/BA44)</f>
        <v/>
      </c>
      <c r="AH43" s="664"/>
      <c r="AI43" s="665" t="str">
        <f>IF(BA44=0,"",IF(AI38="",AX44/SQRT(AT42^2+AT43^2),IF(AI46="","",IF(AT42&lt;0,-AX42*AQ39/SQRT(AT42^2+AT43^2),AX42*AQ39/SQRT(AT42^2+AT43^2)))))</f>
        <v/>
      </c>
      <c r="AJ43" s="661"/>
      <c r="AK43" s="662"/>
      <c r="AL43" s="269"/>
      <c r="AM43" s="72"/>
      <c r="AN43" s="105" t="b">
        <f>IF(BA42="","",IF(AND(VALUE(BA42)=1,L42="油入自冷"),VLOOKUP(L44,変１,F44-47,FALSE),IF(AND(VALUE(BA42)=1,L42="モールド絶縁"),VLOOKUP(L44,変１,F44-42,FALSE))))</f>
        <v>0</v>
      </c>
      <c r="AO43" s="105">
        <f>IF(ISNA(VLOOKUP(L44,変ＵＳＥＲ,3,FALSE)),0,VLOOKUP(L44,変ＵＳＥＲ,3,FALSE)*BA45/50)</f>
        <v>0</v>
      </c>
      <c r="AP43" s="106">
        <f>IF(W42="",0,W42*1000/BA44^2/SQRT(BA42))</f>
        <v>0</v>
      </c>
      <c r="AQ43" s="105">
        <f>IF(AND(VALUE(BA42)=1,VALUE(BA43)=2),1,IF(AND(VALUE(BA42)=3,VALUE(BA43)=3),1,IF(AND(VALUE(BA42)=1,VALUE(BA43)=3),2,IF(AND(VALUE(BA42)=3,VALUE(BA43)=4)*OR(VALUE(BB42)=1,VALUE(BB43)=1,VALUE(BB44)=1,VALUE(BB45)=1),1,SQRT(3)))))</f>
        <v>1.7320508075688772</v>
      </c>
      <c r="AR43" s="107" t="str">
        <f>IF(X42="","",IF(X42="600V IV",VLOOKUP(X44,ＩＶ,3,FALSE),IF(X42="600V CV-T",VLOOKUP(X44,ＣＶＴ,3,FALSE),IF(OR(X42="600V CV-1C",X42="600V CV-2C",X42="600V CV-3C",X42="600V CV-4C"),VLOOKUP(X44,ＣＶ２３Ｃ,3,FALSE),VLOOKUP(X44,ＣＵＳＥＲ,3,FALSE)))))</f>
        <v/>
      </c>
      <c r="AS43" s="105" t="str">
        <f>IF(AD45="",AP45,AP45+(AD45/1000))</f>
        <v/>
      </c>
      <c r="AT43" s="108" t="str">
        <f>IF(AU45="",AT45,AU45)</f>
        <v/>
      </c>
      <c r="AU43" s="108" t="str">
        <f>IF(D42="","",IF(AND(D46="",D50&lt;&gt;"",AV45=AV53),AT51,IF(AND(D46="",D50="",D54&lt;&gt;"",AV49=AV57),AT55,IF(AND(D46="",D50="",D54="",D58&lt;&gt;"",AV53=AV61),AT59,IF(AND(D46="",D50="",D54="",D58="",D62&lt;&gt;"",AV57=AV65),AT63,IF(AND(D46="",D50="",D54="",D58="",D62="",D66&lt;&gt;"",AV61=AV69),AT67,IF(AND(D46="",D50="",D54="",D58="",D62="",D66="",D70&lt;&gt;"",AV65=AV73),AT71,"")))))))</f>
        <v/>
      </c>
      <c r="AV43" s="107" t="str">
        <f>IF(L42="発電機",IF(ISNA(VLOOKUP(L44,ＡＣＧ,3,FALSE)),0,VLOOKUP(L44,ＡＣＧ,3,FALSE)*BA45/50),"")</f>
        <v/>
      </c>
      <c r="AW43" s="109" t="str">
        <f>IF(AT43="","",(AT43-AP42*(AT42^2+AT43^2))/((AT42*AP42)^2+(AP42*AT43-1)^2))</f>
        <v/>
      </c>
      <c r="AX43" s="110"/>
      <c r="AY43" s="334">
        <f>IF(N(AY45)=10^30,10^30,IF(N(AY49)=10^30,(N(AY45)*(N(AY48)^2+N(AY49)^2)+N(AY49)*(N(AY44)^2+N(AY45)^2))/((N(AY44)+N(AY48))^2+(N(AY45)+N(AY49))^2),(N(AY45)*(N(AY46)^2+N(AY47)^2)+N(AY47)*(N(AY44)^2+N(AY45)^2))/((N(AY44)+N(AY46))^2+(N(AY45)+N(AY47))^2)))</f>
        <v>1E+30</v>
      </c>
      <c r="AZ43" s="72"/>
      <c r="BA43" s="335">
        <f>IF(AND(H42="",SUM(S42:S45)&lt;&gt;0),BA39,H42)</f>
        <v>0</v>
      </c>
      <c r="BB43" s="285">
        <f t="shared" si="0"/>
        <v>0</v>
      </c>
      <c r="BC43" s="72"/>
      <c r="BD43" s="72"/>
    </row>
    <row r="44" spans="2:56" ht="15" customHeight="1" x14ac:dyDescent="0.15">
      <c r="D44" s="648"/>
      <c r="E44" s="728"/>
      <c r="F44" s="688"/>
      <c r="G44" s="688"/>
      <c r="H44" s="688"/>
      <c r="I44" s="688"/>
      <c r="J44" s="688"/>
      <c r="K44" s="689"/>
      <c r="L44" s="690"/>
      <c r="M44" s="691"/>
      <c r="N44" s="676"/>
      <c r="O44" s="336"/>
      <c r="P44" s="339"/>
      <c r="Q44" s="342"/>
      <c r="R44" s="339"/>
      <c r="S44" s="112" t="str">
        <f t="shared" si="1"/>
        <v/>
      </c>
      <c r="T44" s="340"/>
      <c r="U44" s="114" t="str">
        <f>IF(OR(BA44="",S44=""),"",S44*1000*T44/(SQRT(BA42)*BA44))</f>
        <v/>
      </c>
      <c r="V44" s="115" t="str">
        <f>IF(AND(N(U42)=0,N(U43)=0,N(U44)=0,N(U45)=0),"",V42*(P42*R42*T42+P43*R43*T43+P44*R44*T44+P45*R45*T45)/(P42*T42+P43*T43+P44*T44+P45*T45))</f>
        <v/>
      </c>
      <c r="W44" s="692" t="str">
        <f>IF(AND(N(AP44)=0,N(AP45)=0,N(AP43)=0),"",IF(AP45&gt;=0,COS(ATAN(AP45/AP44)),-COS(ATAN(AP45/AP44))))</f>
        <v/>
      </c>
      <c r="X44" s="343"/>
      <c r="Y44" s="344"/>
      <c r="Z44" s="345"/>
      <c r="AA44" s="346"/>
      <c r="AB44" s="366"/>
      <c r="AC44" s="344"/>
      <c r="AD44" s="345"/>
      <c r="AE44" s="348"/>
      <c r="AF44" s="116" t="str">
        <f>IF(OR(AF42="",AG38&lt;&gt;""),"",BA44/SQRT(AW44^2+AW45^2))</f>
        <v/>
      </c>
      <c r="AG44" s="663" t="str">
        <f>IF(AG42="","",100*((BA44/AQ43)-AG42)/(BA44/AQ43))</f>
        <v/>
      </c>
      <c r="AH44" s="664"/>
      <c r="AI44" s="666"/>
      <c r="AJ44" s="667"/>
      <c r="AK44" s="669"/>
      <c r="AL44" s="349"/>
      <c r="AM44" s="72"/>
      <c r="AN44" s="117" t="b">
        <f>IF(BA42="","",IF(AND(VALUE(BA42)=3,L42="油入自冷"),VLOOKUP(L44,変３,F44-48,FALSE),IF(AND(VALUE(BA42)=3,L42="モールド絶縁"),VLOOKUP(L44,変３,F44-43,FALSE))))</f>
        <v>0</v>
      </c>
      <c r="AO44" s="107" t="str">
        <f>IF(AND(L38="",N(AY42)&lt;10^29),AY42,"")</f>
        <v/>
      </c>
      <c r="AP44" s="118" t="str">
        <f>IF(V42="","",IF(AND(N(V44)=0,N(AP43)=0),"",AQ44/((AQ44*AP43)^2+(AP43*AQ45-1)^2)))</f>
        <v/>
      </c>
      <c r="AQ44" s="105">
        <f>IF(N(V44)=0,10^30,V44)</f>
        <v>1E+30</v>
      </c>
      <c r="AR44" s="107" t="str">
        <f>IF(AB42="","",IF(AB42="600V IV",VLOOKUP(AB44,ＩＶ,2,FALSE),IF(AB42="600V CV-T",VLOOKUP(AB44,ＣＶＴ,2,FALSE),IF(OR(AB42="600V CV-1C",AB42="600V CV-2C",AB42="600V CV-3C",AB42="600V CV-4C"),VLOOKUP(AB44,ＣＶ２３Ｃ,2,FALSE),VLOOKUP(AB44,ＣＵＳＥＲ,2,FALSE)))))</f>
        <v/>
      </c>
      <c r="AS44" s="105" t="str">
        <f>IF(OR(AND(AS46="",AS47=""),AND(D42="",D46&lt;&gt;"")),AS42,(AS42*(AT46^2+AT47^2)+AT46*(AS42^2+AS43^2))/((AS42+AT46)^2+(AS43+AT47)^2))</f>
        <v/>
      </c>
      <c r="AT44" s="108" t="str">
        <f>IF(X45="",AS44,N(AS44)+(X45/1000))</f>
        <v/>
      </c>
      <c r="AU44" s="108" t="str">
        <f>IF(AU42="","",(AT44*(AU42^2+AU43^2)+AU42*(AT44^2+AT45^2))/((AT44+AU42)^2+(AT45+AU43)^2))</f>
        <v/>
      </c>
      <c r="AV44" s="108">
        <f>IF(BA44=0,1,0)</f>
        <v>1</v>
      </c>
      <c r="AW44" s="109" t="str">
        <f>IF(AO44="","",AW42+AO44)</f>
        <v/>
      </c>
      <c r="AX44" s="110" t="str">
        <f>IF(AND(AX40="",AW44&lt;&gt;""),BA44*SQRT(AW42^2+AW43^2)/SQRT(AW44^2+AW45^2),IF(BA44&lt;&gt;0,AX40,""))</f>
        <v/>
      </c>
      <c r="AY44" s="350">
        <f>IF(L44="",10^30,SQRT(BA42)*(BA44^2)*(N(AN42)+N(AN44)+N(AO42)+N(AV42))/(100000*L44*M42))</f>
        <v>1E+30</v>
      </c>
      <c r="AZ44" s="351"/>
      <c r="BA44" s="335">
        <f>IF(AND(J42="",SUM(S42:S45)&lt;&gt;0),BA40,J42)</f>
        <v>0</v>
      </c>
      <c r="BB44" s="285">
        <f t="shared" si="0"/>
        <v>0</v>
      </c>
      <c r="BC44" s="72"/>
      <c r="BD44" s="72"/>
    </row>
    <row r="45" spans="2:56" ht="15" customHeight="1" x14ac:dyDescent="0.15">
      <c r="D45" s="649"/>
      <c r="E45" s="729"/>
      <c r="F45" s="694"/>
      <c r="G45" s="694"/>
      <c r="H45" s="694"/>
      <c r="I45" s="694"/>
      <c r="J45" s="694"/>
      <c r="K45" s="695"/>
      <c r="L45" s="696" t="str">
        <f>IF(M42="","",L44*1000*M42/(SQRT(BA42)*BA44))</f>
        <v/>
      </c>
      <c r="M45" s="697"/>
      <c r="N45" s="677"/>
      <c r="O45" s="352"/>
      <c r="P45" s="355"/>
      <c r="Q45" s="354"/>
      <c r="R45" s="355"/>
      <c r="S45" s="119" t="str">
        <f t="shared" si="1"/>
        <v/>
      </c>
      <c r="T45" s="356"/>
      <c r="U45" s="120" t="str">
        <f>IF(OR(BA44="",S45=""),"",S45*1000*T45/(SQRT(BA42)*BA44))</f>
        <v/>
      </c>
      <c r="V45" s="121" t="str">
        <f>IF(AND(N(U42)=0,N(U43)=0,N(U44)=0,N(U45)=0),"",IF(V42&gt;=0,SQRT(ABS(V42^2-V44^2)),-SQRT(V42^2-V44^2)))</f>
        <v/>
      </c>
      <c r="W45" s="693"/>
      <c r="X45" s="698" t="str">
        <f>IF(Y44="","",AQ42*Z44*AR42*((1+0.00393*(F45-20))/1.2751)/Y44)</f>
        <v/>
      </c>
      <c r="Y45" s="699"/>
      <c r="Z45" s="700" t="str">
        <f>IF(Y44="","",(BA45/50)*AQ42*Z44*AR43/Y44)</f>
        <v/>
      </c>
      <c r="AA45" s="701"/>
      <c r="AB45" s="702" t="str">
        <f>IF(AC44="","",AQ42*AD44*AR44*((1+0.00393*(F45-20))/1.2751)/AC44)</f>
        <v/>
      </c>
      <c r="AC45" s="699"/>
      <c r="AD45" s="700" t="str">
        <f>IF(AC44="","",(BA45/50)*AQ42*AD44*AR45/AC44)</f>
        <v/>
      </c>
      <c r="AE45" s="703"/>
      <c r="AF45" s="122" t="str">
        <f>IF(AND(AX42&lt;&gt;"",D42=""),AX42,"")</f>
        <v/>
      </c>
      <c r="AG45" s="698" t="str">
        <f>IF(AP44="","",AP44)</f>
        <v/>
      </c>
      <c r="AH45" s="699"/>
      <c r="AI45" s="123" t="str">
        <f>IF(AP45="","",AP45)</f>
        <v/>
      </c>
      <c r="AJ45" s="668"/>
      <c r="AK45" s="670"/>
      <c r="AL45" s="365"/>
      <c r="AM45" s="72"/>
      <c r="AN45" s="270" t="b">
        <f>IF(BA42="","",IF(AND(VALUE(BA42)=3,L42="油入自冷"),VLOOKUP(L44,変３,F44-47,FALSE),IF(AND(VALUE(BA42)=3,L42="モールド絶縁"),VLOOKUP(L44,変３,F44-42,FALSE))))</f>
        <v>0</v>
      </c>
      <c r="AO45" s="270" t="str">
        <f>IF(AND(L38="",N(AY43)&lt;10^29),AY43,"")</f>
        <v/>
      </c>
      <c r="AP45" s="271" t="str">
        <f>IF(V42="","",IF(AND(N(V45)=0,N(AP43)=0),0,(AQ45-AP43*(AQ44^2+AQ45^2))/((AQ44*AP43)^2+(AP43*AQ45-1)^2)))</f>
        <v/>
      </c>
      <c r="AQ45" s="272">
        <f>IF(N(V45)=0,10^30,V45)</f>
        <v>1E+30</v>
      </c>
      <c r="AR45" s="270" t="str">
        <f>IF(AB42="","",IF(AB42="600V IV",VLOOKUP(AB44,ＩＶ,3,FALSE),IF(AB42="600V CV-T",VLOOKUP(AB44,ＣＶＴ,3,FALSE),IF(OR(AB42="600V CV-1C",AB42="600V CV-2C",AB42="600V CV-3C",AB42="600V CV-4C"),VLOOKUP(AB44,ＣＶ２３Ｃ,3,FALSE),VLOOKUP(AB44,ＣＵＳＥＲ,3,FALSE)))))</f>
        <v/>
      </c>
      <c r="AS45" s="272" t="str">
        <f>IF(OR(AND(AS46="",AS47=""),AND(D42="",D46&lt;&gt;"")),AS43,(AS43*(AT46^2+AT47^2)+AT47*(AS42^2+AS43^2))/((AS42+AT46)^2+(AS43+AT47)^2))</f>
        <v/>
      </c>
      <c r="AT45" s="273" t="str">
        <f>IF(Z45="",AS45,N(AS45)+(Z45/1000))</f>
        <v/>
      </c>
      <c r="AU45" s="273" t="str">
        <f>IF(AU43="","",(AT45*(AU42^2+AU43^2)+AU43*(AT44^2+AT45^2))/((AT44+AU42)^2+(AT45+AU43)^2))</f>
        <v/>
      </c>
      <c r="AV45" s="273">
        <f>AV41+AV44</f>
        <v>6</v>
      </c>
      <c r="AW45" s="272" t="str">
        <f>IF(AO45="","",AW43+AO45)</f>
        <v/>
      </c>
      <c r="AX45" s="274"/>
      <c r="AY45" s="350">
        <f>IF(L44="",10^30,SQRT(BA42)*(BA44^2)*(N(AN43)+N(AN45)+N(AO43)+N(AV43))/(100000*L44*M42))</f>
        <v>1E+30</v>
      </c>
      <c r="AZ45" s="351"/>
      <c r="BA45" s="335">
        <f>IF(AND(F44="",SUM(S42:S45)&lt;&gt;0),BA41,F44)</f>
        <v>0</v>
      </c>
      <c r="BB45" s="285">
        <f t="shared" si="0"/>
        <v>0</v>
      </c>
      <c r="BC45" s="72"/>
      <c r="BD45" s="72"/>
    </row>
    <row r="46" spans="2:56" ht="15" customHeight="1" x14ac:dyDescent="0.15">
      <c r="B46" s="263" t="s">
        <v>277</v>
      </c>
      <c r="D46" s="647"/>
      <c r="E46" s="727"/>
      <c r="F46" s="653"/>
      <c r="G46" s="655" t="str">
        <f>IF(F46="","","φ")</f>
        <v/>
      </c>
      <c r="H46" s="657"/>
      <c r="I46" s="655" t="str">
        <f>IF(H46="","","W")</f>
        <v/>
      </c>
      <c r="J46" s="657"/>
      <c r="K46" s="671" t="str">
        <f>IF(J46="","","V")</f>
        <v/>
      </c>
      <c r="L46" s="673"/>
      <c r="M46" s="124"/>
      <c r="N46" s="675"/>
      <c r="O46" s="329"/>
      <c r="P46" s="330"/>
      <c r="Q46" s="331"/>
      <c r="R46" s="332"/>
      <c r="S46" s="265" t="str">
        <f t="shared" si="1"/>
        <v/>
      </c>
      <c r="T46" s="333"/>
      <c r="U46" s="266" t="str">
        <f>IF(OR(BA48="",S46=""),"",S46*1000*T46/(SQRT(BA46)*BA48))</f>
        <v/>
      </c>
      <c r="V46" s="678" t="str">
        <f>IF(AND(N(U46)=0,N(U47)=0,N(U48)=0,N(U49)=0),"",BA48/(SUM(U46:U49)))</f>
        <v/>
      </c>
      <c r="W46" s="680"/>
      <c r="X46" s="682"/>
      <c r="Y46" s="683"/>
      <c r="Z46" s="684"/>
      <c r="AA46" s="704"/>
      <c r="AB46" s="706"/>
      <c r="AC46" s="683"/>
      <c r="AD46" s="684"/>
      <c r="AE46" s="708"/>
      <c r="AF46" s="125" t="str">
        <f>IF(OR(AND(AF42="",N(BA44)=0,BA48&lt;&gt;0),D46&lt;&gt;""),AX48/AQ47,"")</f>
        <v/>
      </c>
      <c r="AG46" s="710" t="str">
        <f>IF(BA48=0,"",IF(AD48="",AX46,IF(AND(D46&lt;&gt;"",AU46=""),AX48*SQRT(AP48^2+AP49^2)/SQRT(AS46^2+AS47^2)/AQ47,AX46*SQRT(AP48^2+AP49^2)/SQRT(AS46^2+AS47^2))))</f>
        <v/>
      </c>
      <c r="AH46" s="711"/>
      <c r="AI46" s="126" t="str">
        <f>IF(AG46="","",IF(N(U46)&lt;0,-AX46*AQ47/SQRT(AS46^2+AS47^2),AX46*AQ47/SQRT(AS46^2+AS47^2)))</f>
        <v/>
      </c>
      <c r="AJ46" s="659"/>
      <c r="AK46" s="660"/>
      <c r="AL46" s="267"/>
      <c r="AM46" s="72"/>
      <c r="AN46" s="105" t="b">
        <f>IF(BA46="","",IF(AND(VALUE(BA46)=1,L46="油入自冷"),VLOOKUP(L48,変１,F48-48,FALSE),IF(AND(VALUE(BA46)=1,L46="モールド絶縁"),VLOOKUP(L48,変１,F48-43,FALSE))))</f>
        <v>0</v>
      </c>
      <c r="AO46" s="105">
        <f>IF(ISNA(VLOOKUP(L48,変ＵＳＥＲ,2,FALSE)),0,VLOOKUP(L48,変ＵＳＥＲ,2,FALSE))</f>
        <v>0</v>
      </c>
      <c r="AP46" s="106">
        <f>IF(N46="",0,N46*1000/BA48^2/SQRT(BA46))</f>
        <v>0</v>
      </c>
      <c r="AQ46" s="105" t="b">
        <f>IF(VALUE(BA46)=1,2,IF(BA46=3,SQRT(3),FALSE))</f>
        <v>0</v>
      </c>
      <c r="AR46" s="107" t="str">
        <f>IF(X46="","",IF(X46="600V IV",VLOOKUP(X48,ＩＶ,2,FALSE),IF(X46="600V CV-T",VLOOKUP(X48,ＣＶＴ,2,FALSE),IF(OR(X46="600V CV-1C",X46="600V CV-2C",X46="600V CV-3C",X46="600V CV-4C"),VLOOKUP(X48,ＣＶ２３Ｃ,2,FALSE),VLOOKUP(X48,ＣＵＳＥＲ,2,FALSE)))))</f>
        <v/>
      </c>
      <c r="AS46" s="105" t="str">
        <f>IF(AB49="",AP48,AP48+(AB49/1000))</f>
        <v/>
      </c>
      <c r="AT46" s="108" t="str">
        <f>IF(AU48="",AT48,AU48)</f>
        <v/>
      </c>
      <c r="AU46" s="108" t="str">
        <f>IF(D46="","",IF(AND(D50="",D54&lt;&gt;"",AV49=AV57),AT54,IF(AND(D50="",D54="",D58&lt;&gt;"",AV53=AV61),AT58,IF(AND(D50="",D54="",D58="",D62&lt;&gt;"",AV57=AV65),AT62,IF(AND(D50="",D54="",D58="",D62="",D66&lt;&gt;"",AV61=AV69),AT66,IF(AND(D50="",D54="",D58="",D62="",D66="",D70&lt;&gt;"",AV65=AV73),AT70,IF(AND(D50="",D54="",D58="",D62="",D66="",D70="",D74&lt;&gt;"",AV69=AV77),AT74,"")))))))</f>
        <v/>
      </c>
      <c r="AV46" s="108" t="str">
        <f>IF(L46="発電機",IF(ISNA(VLOOKUP(L48,ＡＣＧ,2,FALSE)),0,VLOOKUP(L48,ＡＣＧ,2,FALSE)),"")</f>
        <v/>
      </c>
      <c r="AW46" s="109" t="str">
        <f>IF(AT46="","",AT46/((AT46*AP46)^2+(AT47*AP46-1)^2))</f>
        <v/>
      </c>
      <c r="AX46" s="110" t="str">
        <f>IF(BA48=0,"",IF(OR(AX42="",AF46&lt;&gt;""),AF46*SQRT(AS48^2+AS49^2)/SQRT(AT48^2+AT49^2),AX42*SQRT(AS48^2+AS49^2)/SQRT(AT48^2+AT49^2)))</f>
        <v/>
      </c>
      <c r="AY46" s="334">
        <f>IF(N(AY48)=10^30,10^30,IF(N(AY52)=10^30,(N(AY48)*(N(AY52)^2+N(AY53)^2)+N(AY52)*(N(AY48)^2+N(AY49)^2))/((N(AY48)+N(AY52))^2+(N(AY49)+N(AY53))^2),(N(AY48)*(N(AY50)^2+N(AY51)^2)+N(AY50)*(N(AY48)^2+N(AY49)^2))/((N(AY48)+N(AY50))^2+(N(AY49)+N(AY51))^2)))</f>
        <v>1E+30</v>
      </c>
      <c r="AZ46" s="72"/>
      <c r="BA46" s="335">
        <f>IF(AND(F46="",SUM(S46:S49)&lt;&gt;0),BA42,F46)</f>
        <v>0</v>
      </c>
      <c r="BB46" s="285">
        <f t="shared" si="0"/>
        <v>0</v>
      </c>
      <c r="BC46" s="72"/>
      <c r="BD46" s="72"/>
    </row>
    <row r="47" spans="2:56" ht="15" customHeight="1" x14ac:dyDescent="0.15">
      <c r="B47" s="264" t="s">
        <v>237</v>
      </c>
      <c r="D47" s="648"/>
      <c r="E47" s="728"/>
      <c r="F47" s="654"/>
      <c r="G47" s="656"/>
      <c r="H47" s="658"/>
      <c r="I47" s="656"/>
      <c r="J47" s="658"/>
      <c r="K47" s="672"/>
      <c r="L47" s="674"/>
      <c r="M47" s="111" t="str">
        <f>IF(L46="発電機",SQRT(AV46^2+AV47^2),IF(L48="","",IF(OR(L46="油入自冷",L46="モ－ルド絶縁"),IF(BA46=1,SQRT(AN46^2+AN47^2),IF(BA46=3,SQRT(AN48^2+AN49^2))),SQRT(AO46^2+AO47^2))))</f>
        <v/>
      </c>
      <c r="N47" s="676"/>
      <c r="O47" s="336"/>
      <c r="P47" s="364"/>
      <c r="Q47" s="338"/>
      <c r="R47" s="339"/>
      <c r="S47" s="112" t="str">
        <f t="shared" si="1"/>
        <v/>
      </c>
      <c r="T47" s="340"/>
      <c r="U47" s="268" t="str">
        <f>IF(OR(BA48="",S47=""),"",S47*1000*T47/(SQRT(BA46)*BA48))</f>
        <v/>
      </c>
      <c r="V47" s="679"/>
      <c r="W47" s="681"/>
      <c r="X47" s="685"/>
      <c r="Y47" s="686"/>
      <c r="Z47" s="687"/>
      <c r="AA47" s="705"/>
      <c r="AB47" s="707"/>
      <c r="AC47" s="686"/>
      <c r="AD47" s="687"/>
      <c r="AE47" s="709"/>
      <c r="AF47" s="113" t="str">
        <f>IF(OR(AF46="",AG42&lt;&gt;""),"",AF46*AQ47/SQRT(AT46^2+AT47^2))</f>
        <v/>
      </c>
      <c r="AG47" s="663" t="str">
        <f>IF(AG46="","",100*AG46*AQ47/BA48)</f>
        <v/>
      </c>
      <c r="AH47" s="664"/>
      <c r="AI47" s="665" t="str">
        <f>IF(BA48=0,"",IF(AI42="",AX48/SQRT(AT46^2+AT47^2),IF(AI50="","",IF(AT46&lt;0,-AX46*AQ43/SQRT(AT46^2+AT47^2),AX46*AQ43/SQRT(AT46^2+AT47^2)))))</f>
        <v/>
      </c>
      <c r="AJ47" s="661"/>
      <c r="AK47" s="662"/>
      <c r="AL47" s="269"/>
      <c r="AM47" s="72"/>
      <c r="AN47" s="105" t="b">
        <f>IF(BA46="","",IF(AND(VALUE(BA46)=1,L46="油入自冷"),VLOOKUP(L48,変１,F48-47,FALSE),IF(AND(VALUE(BA46)=1,L46="モールド絶縁"),VLOOKUP(L48,変１,F48-42,FALSE))))</f>
        <v>0</v>
      </c>
      <c r="AO47" s="105">
        <f>IF(ISNA(VLOOKUP(L48,変ＵＳＥＲ,3,FALSE)),0,VLOOKUP(L48,変ＵＳＥＲ,3,FALSE)*BA49/50)</f>
        <v>0</v>
      </c>
      <c r="AP47" s="106">
        <f>IF(W46="",0,W46*1000/BA48^2/SQRT(BA46))</f>
        <v>0</v>
      </c>
      <c r="AQ47" s="105">
        <f>IF(AND(VALUE(BA46)=1,VALUE(BA47)=2),1,IF(AND(VALUE(BA46)=3,VALUE(BA47)=3),1,IF(AND(VALUE(BA46)=1,VALUE(BA47)=3),2,IF(AND(VALUE(BA46)=3,VALUE(BA47)=4)*OR(VALUE(BB46)=1,VALUE(BB47)=1,VALUE(BB48)=1,VALUE(BB49)=1),1,SQRT(3)))))</f>
        <v>1.7320508075688772</v>
      </c>
      <c r="AR47" s="107" t="str">
        <f>IF(X46="","",IF(X46="600V IV",VLOOKUP(X48,ＩＶ,3,FALSE),IF(X46="600V CV-T",VLOOKUP(X48,ＣＶＴ,3,FALSE),IF(OR(X46="600V CV-1C",X46="600V CV-2C",X46="600V CV-3C",X46="600V CV-4C"),VLOOKUP(X48,ＣＶ２３Ｃ,3,FALSE),VLOOKUP(X48,ＣＵＳＥＲ,3,FALSE)))))</f>
        <v/>
      </c>
      <c r="AS47" s="105" t="str">
        <f>IF(AD49="",AP49,AP49+(AD49/1000))</f>
        <v/>
      </c>
      <c r="AT47" s="108" t="str">
        <f>IF(AU49="",AT49,AU49)</f>
        <v/>
      </c>
      <c r="AU47" s="108" t="str">
        <f>IF(D46="","",IF(AND(D50="",D54&lt;&gt;"",AV49=AV57),AT55,IF(AND(D50="",D54="",D58&lt;&gt;"",AV53=AV61),AT59,IF(AND(D50="",D54="",D58="",D62&lt;&gt;"",AV57=AV65),AT63,IF(AND(D50="",D54="",D58="",D62="",D66&lt;&gt;"",AV61=AV69),AT67,IF(AND(D50="",D54="",D58="",D62="",D66="",D70&lt;&gt;"",AV65=AV73),AT71,IF(AND(D50="",D54="",D58="",D62="",D66="",D70="",D74&lt;&gt;"",AV69=AV77),AT75,"")))))))</f>
        <v/>
      </c>
      <c r="AV47" s="107" t="str">
        <f>IF(L46="発電機",IF(ISNA(VLOOKUP(L48,ＡＣＧ,3,FALSE)),0,VLOOKUP(L48,ＡＣＧ,3,FALSE)*BA49/50),"")</f>
        <v/>
      </c>
      <c r="AW47" s="109" t="str">
        <f>IF(AT47="","",(AT47-AP46*(AT46^2+AT47^2))/((AT46*AP46)^2+(AP46*AT47-1)^2))</f>
        <v/>
      </c>
      <c r="AX47" s="110"/>
      <c r="AY47" s="334">
        <f>IF(N(AY49)=10^30,10^30,IF(N(AY53)=10^30,(N(AY49)*(N(AY52)^2+N(AY53)^2)+N(AY53)*(N(AY48)^2+N(AY49)^2))/((N(AY48)+N(AY52))^2+(N(AY49)+N(AY53))^2),(N(AY49)*(N(AY50)^2+N(AY51)^2)+N(AY51)*(N(AY48)^2+N(AY49)^2))/((N(AY48)+N(AY50))^2+(N(AY49)+N(AY51))^2)))</f>
        <v>1E+30</v>
      </c>
      <c r="AZ47" s="72"/>
      <c r="BA47" s="335">
        <f>IF(AND(H46="",SUM(S46:S49)&lt;&gt;0),BA43,H46)</f>
        <v>0</v>
      </c>
      <c r="BB47" s="285">
        <f t="shared" si="0"/>
        <v>0</v>
      </c>
      <c r="BC47" s="72"/>
      <c r="BD47" s="72"/>
    </row>
    <row r="48" spans="2:56" ht="15" customHeight="1" x14ac:dyDescent="0.15">
      <c r="B48" s="358"/>
      <c r="D48" s="648"/>
      <c r="E48" s="728"/>
      <c r="F48" s="688"/>
      <c r="G48" s="688"/>
      <c r="H48" s="688"/>
      <c r="I48" s="688"/>
      <c r="J48" s="688"/>
      <c r="K48" s="689"/>
      <c r="L48" s="690"/>
      <c r="M48" s="691"/>
      <c r="N48" s="676"/>
      <c r="O48" s="336"/>
      <c r="P48" s="339"/>
      <c r="Q48" s="342"/>
      <c r="R48" s="339"/>
      <c r="S48" s="112" t="str">
        <f t="shared" si="1"/>
        <v/>
      </c>
      <c r="T48" s="340"/>
      <c r="U48" s="114" t="str">
        <f>IF(OR(BA48="",S48=""),"",S48*1000*T48/(SQRT(BA46)*BA48))</f>
        <v/>
      </c>
      <c r="V48" s="115" t="str">
        <f>IF(AND(N(U46)=0,N(U47)=0,N(U48)=0,N(U49)=0),"",V46*(P46*R46*T46+P47*R47*T47+P48*R48*T48+P49*R49*T49)/(P46*T46+P47*T47+P48*T48+P49*T49))</f>
        <v/>
      </c>
      <c r="W48" s="692" t="str">
        <f>IF(AND(N(AP48)=0,N(AP49)=0,N(AP47)=0),"",IF(AP49&gt;=0,COS(ATAN(AP49/AP48)),-COS(ATAN(AP49/AP48))))</f>
        <v/>
      </c>
      <c r="X48" s="343"/>
      <c r="Y48" s="344"/>
      <c r="Z48" s="345"/>
      <c r="AA48" s="346"/>
      <c r="AB48" s="366"/>
      <c r="AC48" s="344"/>
      <c r="AD48" s="345"/>
      <c r="AE48" s="348"/>
      <c r="AF48" s="116" t="str">
        <f>IF(OR(AF46="",AG42&lt;&gt;""),"",BA48/SQRT(AW48^2+AW49^2))</f>
        <v/>
      </c>
      <c r="AG48" s="663" t="str">
        <f>IF(AG46="","",100*((BA48/AQ47)-AG46)/(BA48/AQ47))</f>
        <v/>
      </c>
      <c r="AH48" s="664"/>
      <c r="AI48" s="666"/>
      <c r="AJ48" s="667"/>
      <c r="AK48" s="669"/>
      <c r="AL48" s="349"/>
      <c r="AM48" s="72"/>
      <c r="AN48" s="117" t="b">
        <f>IF(BA46="","",IF(AND(VALUE(BA46)=3,L46="油入自冷"),VLOOKUP(L48,変３,F48-48,FALSE),IF(AND(VALUE(BA46)=3,L46="モールド絶縁"),VLOOKUP(L48,変３,F48-43,FALSE))))</f>
        <v>0</v>
      </c>
      <c r="AO48" s="107" t="str">
        <f>IF(AND(L42="",N(AY46)&lt;10^29),AY46,"")</f>
        <v/>
      </c>
      <c r="AP48" s="118" t="str">
        <f>IF(V46="","",IF(AND(N(V48)=0,N(AP47)=0),"",AQ48/((AQ48*AP47)^2+(AP47*AQ49-1)^2)))</f>
        <v/>
      </c>
      <c r="AQ48" s="105">
        <f>IF(N(V48)=0,10^30,V48)</f>
        <v>1E+30</v>
      </c>
      <c r="AR48" s="107" t="str">
        <f>IF(AB46="","",IF(AB46="600V IV",VLOOKUP(AB48,ＩＶ,2,FALSE),IF(AB46="600V CV-T",VLOOKUP(AB48,ＣＶＴ,2,FALSE),IF(OR(AB46="600V CV-1C",AB46="600V CV-2C",AB46="600V CV-3C",AB46="600V CV-4C"),VLOOKUP(AB48,ＣＶ２３Ｃ,2,FALSE),VLOOKUP(AB48,ＣＵＳＥＲ,2,FALSE)))))</f>
        <v/>
      </c>
      <c r="AS48" s="105" t="str">
        <f>IF(OR(AND(AS50="",AS51=""),AND(D46="",D50&lt;&gt;"")),AS46,(AS46*(AT50^2+AT51^2)+AT50*(AS46^2+AS47^2))/((AS46+AT50)^2+(AS47+AT51)^2))</f>
        <v/>
      </c>
      <c r="AT48" s="108" t="str">
        <f>IF(X49="",AS48,N(AS48)+(X49/1000))</f>
        <v/>
      </c>
      <c r="AU48" s="108" t="str">
        <f>IF(AU46="","",(AT48*(AU46^2+AU47^2)+AU46*(AT48^2+AT49^2))/((AT48+AU46)^2+(AT49+AU47)^2))</f>
        <v/>
      </c>
      <c r="AV48" s="108">
        <f>IF(BA48=0,1,0)</f>
        <v>1</v>
      </c>
      <c r="AW48" s="109" t="str">
        <f>IF(AO48="","",AW46+AO48)</f>
        <v/>
      </c>
      <c r="AX48" s="110" t="str">
        <f>IF(AND(AX44="",AW48&lt;&gt;""),BA48*SQRT(AW46^2+AW47^2)/SQRT(AW48^2+AW49^2),IF(BA48&lt;&gt;0,AX44,""))</f>
        <v/>
      </c>
      <c r="AY48" s="350">
        <f>IF(L48="",10^30,SQRT(BA46)*(BA48^2)*(N(AN46)+N(AN48)+N(AO46)+N(AV46))/(100000*L48*M46))</f>
        <v>1E+30</v>
      </c>
      <c r="AZ48" s="351"/>
      <c r="BA48" s="335">
        <f>IF(AND(J46="",SUM(S46:S49)&lt;&gt;0),BA44,J46)</f>
        <v>0</v>
      </c>
      <c r="BB48" s="285">
        <f t="shared" si="0"/>
        <v>0</v>
      </c>
      <c r="BC48" s="72"/>
      <c r="BD48" s="72"/>
    </row>
    <row r="49" spans="1:56" ht="15" customHeight="1" x14ac:dyDescent="0.15">
      <c r="A49" s="367"/>
      <c r="B49" s="358" t="s">
        <v>312</v>
      </c>
      <c r="D49" s="649"/>
      <c r="E49" s="729"/>
      <c r="F49" s="694"/>
      <c r="G49" s="694"/>
      <c r="H49" s="694"/>
      <c r="I49" s="694"/>
      <c r="J49" s="694"/>
      <c r="K49" s="695"/>
      <c r="L49" s="696" t="str">
        <f>IF(M46="","",L48*1000*M46/(SQRT(BA46)*BA48))</f>
        <v/>
      </c>
      <c r="M49" s="697"/>
      <c r="N49" s="677"/>
      <c r="O49" s="352"/>
      <c r="P49" s="355"/>
      <c r="Q49" s="354"/>
      <c r="R49" s="355"/>
      <c r="S49" s="119" t="str">
        <f t="shared" si="1"/>
        <v/>
      </c>
      <c r="T49" s="356"/>
      <c r="U49" s="120" t="str">
        <f>IF(OR(BA48="",S49=""),"",S49*1000*T49/(SQRT(BA46)*BA48))</f>
        <v/>
      </c>
      <c r="V49" s="121" t="str">
        <f>IF(AND(N(U46)=0,N(U47)=0,N(U48)=0,N(U49)=0),"",IF(V46&gt;=0,SQRT(ABS(V46^2-V48^2)),-SQRT(V46^2-V48^2)))</f>
        <v/>
      </c>
      <c r="W49" s="693"/>
      <c r="X49" s="698" t="str">
        <f>IF(Y48="","",AQ46*Z48*AR46*((1+0.00393*(F49-20))/1.2751)/Y48)</f>
        <v/>
      </c>
      <c r="Y49" s="699"/>
      <c r="Z49" s="700" t="str">
        <f>IF(Y48="","",(BA49/50)*AQ46*Z48*AR47/Y48)</f>
        <v/>
      </c>
      <c r="AA49" s="701"/>
      <c r="AB49" s="702" t="str">
        <f>IF(AC48="","",AQ46*AD48*AR48*((1+0.00393*(F49-20))/1.2751)/AC48)</f>
        <v/>
      </c>
      <c r="AC49" s="699"/>
      <c r="AD49" s="700" t="str">
        <f>IF(AC48="","",(BA49/50)*AQ46*AD48*AR49/AC48)</f>
        <v/>
      </c>
      <c r="AE49" s="703"/>
      <c r="AF49" s="122" t="str">
        <f>IF(AND(AX46&lt;&gt;"",D46=""),AX46,"")</f>
        <v/>
      </c>
      <c r="AG49" s="698" t="str">
        <f>IF(AP48="","",AP48)</f>
        <v/>
      </c>
      <c r="AH49" s="699"/>
      <c r="AI49" s="123" t="str">
        <f>IF(AP49="","",AP49)</f>
        <v/>
      </c>
      <c r="AJ49" s="668"/>
      <c r="AK49" s="670"/>
      <c r="AL49" s="365"/>
      <c r="AM49" s="72"/>
      <c r="AN49" s="270" t="b">
        <f>IF(BA46="","",IF(AND(VALUE(BA46)=3,L46="油入自冷"),VLOOKUP(L48,変３,F48-47,FALSE),IF(AND(VALUE(BA46)=3,L46="モールド絶縁"),VLOOKUP(L48,変３,F48-42,FALSE))))</f>
        <v>0</v>
      </c>
      <c r="AO49" s="270" t="str">
        <f>IF(AND(L42="",N(AY47)&lt;10^29),AY47,"")</f>
        <v/>
      </c>
      <c r="AP49" s="271" t="str">
        <f>IF(V46="","",IF(AND(N(V49)=0,N(AP47)=0),0,(AQ49-AP47*(AQ48^2+AQ49^2))/((AQ48*AP47)^2+(AP47*AQ49-1)^2)))</f>
        <v/>
      </c>
      <c r="AQ49" s="272">
        <f>IF(N(V49)=0,10^30,V49)</f>
        <v>1E+30</v>
      </c>
      <c r="AR49" s="270" t="str">
        <f>IF(AB46="","",IF(AB46="600V IV",VLOOKUP(AB48,ＩＶ,3,FALSE),IF(AB46="600V CV-T",VLOOKUP(AB48,ＣＶＴ,3,FALSE),IF(OR(AB46="600V CV-1C",AB46="600V CV-2C",AB46="600V CV-3C",AB46="600V CV-4C"),VLOOKUP(AB48,ＣＶ２３Ｃ,3,FALSE),VLOOKUP(AB48,ＣＵＳＥＲ,3,FALSE)))))</f>
        <v/>
      </c>
      <c r="AS49" s="272" t="str">
        <f>IF(OR(AND(AS50="",AS51=""),AND(D46="",D50&lt;&gt;"")),AS47,(AS47*(AT50^2+AT51^2)+AT51*(AS46^2+AS47^2))/((AS46+AT50)^2+(AS47+AT51)^2))</f>
        <v/>
      </c>
      <c r="AT49" s="273" t="str">
        <f>IF(Z49="",AS49,N(AS49)+(Z49/1000))</f>
        <v/>
      </c>
      <c r="AU49" s="273" t="str">
        <f>IF(AU47="","",(AT49*(AU46^2+AU47^2)+AU47*(AT48^2+AT49^2))/((AT48+AU46)^2+(AT49+AU47)^2))</f>
        <v/>
      </c>
      <c r="AV49" s="273">
        <f>AV45+AV48</f>
        <v>7</v>
      </c>
      <c r="AW49" s="272" t="str">
        <f>IF(AO49="","",AW47+AO49)</f>
        <v/>
      </c>
      <c r="AX49" s="274"/>
      <c r="AY49" s="350">
        <f>IF(L48="",10^30,SQRT(BA46)*(BA48^2)*(N(AN47)+N(AN49)+N(AO47)+N(AV47))/(100000*L48*M46))</f>
        <v>1E+30</v>
      </c>
      <c r="AZ49" s="351"/>
      <c r="BA49" s="335">
        <f>IF(AND(F48="",SUM(S46:S49)&lt;&gt;0),BA45,F48)</f>
        <v>0</v>
      </c>
      <c r="BB49" s="285">
        <f t="shared" si="0"/>
        <v>0</v>
      </c>
      <c r="BC49" s="72"/>
      <c r="BD49" s="72"/>
    </row>
    <row r="50" spans="1:56" ht="15" customHeight="1" x14ac:dyDescent="0.15">
      <c r="A50" s="367"/>
      <c r="B50" s="358" t="s">
        <v>238</v>
      </c>
      <c r="D50" s="647"/>
      <c r="E50" s="727"/>
      <c r="F50" s="653"/>
      <c r="G50" s="655" t="str">
        <f>IF(F50="","","φ")</f>
        <v/>
      </c>
      <c r="H50" s="657"/>
      <c r="I50" s="655" t="str">
        <f>IF(H50="","","W")</f>
        <v/>
      </c>
      <c r="J50" s="657"/>
      <c r="K50" s="671" t="str">
        <f>IF(J50="","","V")</f>
        <v/>
      </c>
      <c r="L50" s="673"/>
      <c r="M50" s="124"/>
      <c r="N50" s="675"/>
      <c r="O50" s="329"/>
      <c r="P50" s="330"/>
      <c r="Q50" s="331"/>
      <c r="R50" s="332"/>
      <c r="S50" s="265" t="str">
        <f t="shared" si="1"/>
        <v/>
      </c>
      <c r="T50" s="333"/>
      <c r="U50" s="266" t="str">
        <f>IF(OR(BA52="",S50=""),"",S50*1000*T50/(SQRT(BA50)*BA52))</f>
        <v/>
      </c>
      <c r="V50" s="678" t="str">
        <f>IF(AND(N(U50)=0,N(U51)=0,N(U52)=0,N(U53)=0),"",BA52/(SUM(U50:U53)))</f>
        <v/>
      </c>
      <c r="W50" s="680"/>
      <c r="X50" s="682"/>
      <c r="Y50" s="683"/>
      <c r="Z50" s="684"/>
      <c r="AA50" s="704"/>
      <c r="AB50" s="706"/>
      <c r="AC50" s="683"/>
      <c r="AD50" s="684"/>
      <c r="AE50" s="708"/>
      <c r="AF50" s="125" t="str">
        <f>IF(OR(AND(AF46="",N(BA48)=0,BA52&lt;&gt;0),D50&lt;&gt;""),AX52/AQ51,"")</f>
        <v/>
      </c>
      <c r="AG50" s="710" t="str">
        <f>IF(BA52=0,"",IF(AD52="",AX50,IF(AND(D50&lt;&gt;"",AU50=""),AX52*SQRT(AP52^2+AP53^2)/SQRT(AS50^2+AS51^2)/AQ51,AX50*SQRT(AP52^2+AP53^2)/SQRT(AS50^2+AS51^2))))</f>
        <v/>
      </c>
      <c r="AH50" s="711"/>
      <c r="AI50" s="126" t="str">
        <f>IF(AG50="","",IF(N(U50)&lt;0,-AX50*AQ51/SQRT(AS50^2+AS51^2),AX50*AQ51/SQRT(AS50^2+AS51^2)))</f>
        <v/>
      </c>
      <c r="AJ50" s="659"/>
      <c r="AK50" s="660"/>
      <c r="AL50" s="267"/>
      <c r="AM50" s="72"/>
      <c r="AN50" s="105" t="b">
        <f>IF(BA50="","",IF(AND(VALUE(BA50)=1,L50="油入自冷"),VLOOKUP(L52,変１,F52-48,FALSE),IF(AND(VALUE(BA50)=1,L50="モールド絶縁"),VLOOKUP(L52,変１,F52-43,FALSE))))</f>
        <v>0</v>
      </c>
      <c r="AO50" s="105">
        <f>IF(ISNA(VLOOKUP(L52,変ＵＳＥＲ,2,FALSE)),0,VLOOKUP(L52,変ＵＳＥＲ,2,FALSE))</f>
        <v>0</v>
      </c>
      <c r="AP50" s="106">
        <f>IF(N50="",0,N50*1000/BA52^2/SQRT(BA50))</f>
        <v>0</v>
      </c>
      <c r="AQ50" s="105" t="b">
        <f>IF(VALUE(BA50)=1,2,IF(BA50=3,SQRT(3),FALSE))</f>
        <v>0</v>
      </c>
      <c r="AR50" s="107" t="str">
        <f>IF(X50="","",IF(X50="600V IV",VLOOKUP(X52,ＩＶ,2,FALSE),IF(X50="600V CV-T",VLOOKUP(X52,ＣＶＴ,2,FALSE),IF(OR(X50="600V CV-1C",X50="600V CV-2C",X50="600V CV-3C",X50="600V CV-4C"),VLOOKUP(X52,ＣＶ２３Ｃ,2,FALSE),VLOOKUP(X52,ＣＵＳＥＲ,2,FALSE)))))</f>
        <v/>
      </c>
      <c r="AS50" s="105" t="str">
        <f>IF(AB53="",AP52,AP52+(AB53/1000))</f>
        <v/>
      </c>
      <c r="AT50" s="108" t="str">
        <f>IF(AU52="",AT52,AU52)</f>
        <v/>
      </c>
      <c r="AU50" s="108" t="str">
        <f>IF(D50="","",IF(AND(D54="",D58&lt;&gt;"",AV53=AV61),AT58,IF(AND(D54="",D58="",D62&lt;&gt;"",AV57=AV65),AT62,IF(AND(D54="",D58="",D62="",D66&lt;&gt;"",AV61=AV69),AT66,IF(AND(D54="",D58="",D62="",D66="",D70&lt;&gt;"",AV65=AV73),AT70,IF(AND(D54="",D58="",D62="",D66="",D70="",D74&lt;&gt;"",AV69=AV77),AT74,IF(AND(D54="",D58="",D62="",D66="",D70="",D74="",D78&lt;&gt;"",AV73=AV81),AT78,"")))))))</f>
        <v/>
      </c>
      <c r="AV50" s="108" t="str">
        <f>IF(L50="発電機",IF(ISNA(VLOOKUP(L52,ＡＣＧ,2,FALSE)),0,VLOOKUP(L52,ＡＣＧ,2,FALSE)),"")</f>
        <v/>
      </c>
      <c r="AW50" s="109" t="str">
        <f>IF(AT50="","",AT50/((AT50*AP50)^2+(AT51*AP50-1)^2))</f>
        <v/>
      </c>
      <c r="AX50" s="110" t="str">
        <f>IF(BA52=0,"",IF(OR(AX46="",AF50&lt;&gt;""),AF50*SQRT(AS52^2+AS53^2)/SQRT(AT52^2+AT53^2),AX46*SQRT(AS52^2+AS53^2)/SQRT(AT52^2+AT53^2)))</f>
        <v/>
      </c>
      <c r="AY50" s="334">
        <f>IF(N(AY52)=10^30,10^30,IF(N(AY56)=10^30,(N(AY52)*(N(AY56)^2+N(AY57)^2)+N(AY56)*(N(AY52)^2+N(AY53)^2))/((N(AY52)+N(AY56))^2+(N(AY53)+N(AY57))^2),(N(AY52)*(N(AY54)^2+N(AY55)^2)+N(AY54)*(N(AY52)^2+N(AY53)^2))/((N(AY52)+N(AY54))^2+(N(AY53)+N(AY55))^2)))</f>
        <v>1E+30</v>
      </c>
      <c r="AZ50" s="72"/>
      <c r="BA50" s="335">
        <f>IF(AND(F50="",SUM(S50:S53)&lt;&gt;0),BA46,F50)</f>
        <v>0</v>
      </c>
      <c r="BB50" s="285">
        <f t="shared" si="0"/>
        <v>0</v>
      </c>
      <c r="BC50" s="72"/>
      <c r="BD50" s="72"/>
    </row>
    <row r="51" spans="1:56" ht="15" customHeight="1" x14ac:dyDescent="0.15">
      <c r="A51" s="367"/>
      <c r="B51" s="358" t="s">
        <v>239</v>
      </c>
      <c r="D51" s="648"/>
      <c r="E51" s="728"/>
      <c r="F51" s="654"/>
      <c r="G51" s="656"/>
      <c r="H51" s="658"/>
      <c r="I51" s="656"/>
      <c r="J51" s="658"/>
      <c r="K51" s="672"/>
      <c r="L51" s="674"/>
      <c r="M51" s="111" t="str">
        <f>IF(L50="発電機",SQRT(AV50^2+AV51^2),IF(L52="","",IF(OR(L50="油入自冷",L50="モ－ルド絶縁"),IF(BA50=1,SQRT(AN50^2+AN51^2),IF(BA50=3,SQRT(AN52^2+AN53^2))),SQRT(AO50^2+AO51^2))))</f>
        <v/>
      </c>
      <c r="N51" s="676"/>
      <c r="O51" s="336"/>
      <c r="P51" s="364"/>
      <c r="Q51" s="338"/>
      <c r="R51" s="339"/>
      <c r="S51" s="112" t="str">
        <f t="shared" si="1"/>
        <v/>
      </c>
      <c r="T51" s="340"/>
      <c r="U51" s="268" t="str">
        <f>IF(OR(BA52="",S51=""),"",S51*1000*T51/(SQRT(BA50)*BA52))</f>
        <v/>
      </c>
      <c r="V51" s="679"/>
      <c r="W51" s="681"/>
      <c r="X51" s="685"/>
      <c r="Y51" s="686"/>
      <c r="Z51" s="687"/>
      <c r="AA51" s="705"/>
      <c r="AB51" s="707"/>
      <c r="AC51" s="686"/>
      <c r="AD51" s="687"/>
      <c r="AE51" s="709"/>
      <c r="AF51" s="113" t="str">
        <f>IF(OR(AF50="",AG46&lt;&gt;""),"",AF50*AQ51/SQRT(AT50^2+AT51^2))</f>
        <v/>
      </c>
      <c r="AG51" s="663" t="str">
        <f>IF(AG50="","",100*AG50*AQ51/BA52)</f>
        <v/>
      </c>
      <c r="AH51" s="664"/>
      <c r="AI51" s="665" t="str">
        <f>IF(BA52=0,"",IF(AI46="",AX52/SQRT(AT50^2+AT51^2),IF(AI54="","",IF(AT50&lt;0,-AX50*AQ47/SQRT(AT50^2+AT51^2),AX50*AQ47/SQRT(AT50^2+AT51^2)))))</f>
        <v/>
      </c>
      <c r="AJ51" s="661"/>
      <c r="AK51" s="662"/>
      <c r="AL51" s="349"/>
      <c r="AM51" s="72"/>
      <c r="AN51" s="105" t="b">
        <f>IF(BA50="","",IF(AND(VALUE(BA50)=1,L50="油入自冷"),VLOOKUP(L52,変１,F52-47,FALSE),IF(AND(VALUE(BA50)=1,L50="モールド絶縁"),VLOOKUP(L52,変１,F52-42,FALSE))))</f>
        <v>0</v>
      </c>
      <c r="AO51" s="105">
        <f>IF(ISNA(VLOOKUP(L52,変ＵＳＥＲ,3,FALSE)),0,VLOOKUP(L52,変ＵＳＥＲ,3,FALSE)*BA53/50)</f>
        <v>0</v>
      </c>
      <c r="AP51" s="106">
        <f>IF(W50="",0,W50*1000/BA52^2/SQRT(BA50))</f>
        <v>0</v>
      </c>
      <c r="AQ51" s="105">
        <f>IF(AND(VALUE(BA50)=1,VALUE(BA51)=2),1,IF(AND(VALUE(BA50)=3,VALUE(BA51)=3),1,IF(AND(VALUE(BA50)=1,VALUE(BA51)=3),2,IF(AND(VALUE(BA50)=3,VALUE(BA51)=4)*OR(VALUE(BB50)=1,VALUE(BB51)=1,VALUE(BB52)=1,VALUE(BB53)=1),1,SQRT(3)))))</f>
        <v>1.7320508075688772</v>
      </c>
      <c r="AR51" s="107" t="str">
        <f>IF(X50="","",IF(X50="600V IV",VLOOKUP(X52,ＩＶ,3,FALSE),IF(X50="600V CV-T",VLOOKUP(X52,ＣＶＴ,3,FALSE),IF(OR(X50="600V CV-1C",X50="600V CV-2C",X50="600V CV-3C",X50="600V CV-4C"),VLOOKUP(X52,ＣＶ２３Ｃ,3,FALSE),VLOOKUP(X52,ＣＵＳＥＲ,3,FALSE)))))</f>
        <v/>
      </c>
      <c r="AS51" s="105" t="str">
        <f>IF(AD53="",AP53,AP53+(AD53/1000))</f>
        <v/>
      </c>
      <c r="AT51" s="108" t="str">
        <f>IF(AU53="",AT53,AU53)</f>
        <v/>
      </c>
      <c r="AU51" s="108" t="str">
        <f>IF(D50="","",IF(AND(D54="",D58&lt;&gt;"",AV53=AV61),AT59,IF(AND(D54="",D58="",D62&lt;&gt;"",AV57=AV65),AT63,IF(AND(D54="",D58="",D62="",D66&lt;&gt;"",AV61=AV69),AT67,IF(AND(D54="",D58="",D62="",D66="",D70&lt;&gt;"",AV65=AV73),AT71,IF(AND(D54="",D58="",D62="",D66="",D70="",D74&lt;&gt;"",AV69=AV77),AT75,IF(AND(D54="",D58="",D62="",D66="",D70="",D74="",D78&lt;&gt;"",AV73=AV81),AT79,"")))))))</f>
        <v/>
      </c>
      <c r="AV51" s="107" t="str">
        <f>IF(L50="発電機",IF(ISNA(VLOOKUP(L52,ＡＣＧ,3,FALSE)),0,VLOOKUP(L52,ＡＣＧ,3,FALSE)*BA53/50),"")</f>
        <v/>
      </c>
      <c r="AW51" s="109" t="str">
        <f>IF(AT51="","",(AT51-AP50*(AT50^2+AT51^2))/((AT50*AP50)^2+(AP50*AT51-1)^2))</f>
        <v/>
      </c>
      <c r="AX51" s="110"/>
      <c r="AY51" s="334">
        <f>IF(N(AY53)=10^30,10^30,IF(N(AY57)=10^30,(N(AY53)*(N(AY56)^2+N(AY57)^2)+N(AY57)*(N(AY52)^2+N(AY53)^2))/((N(AY52)+N(AY56))^2+(N(AY53)+N(AY57))^2),(N(AY53)*(N(AY54)^2+N(AY55)^2)+N(AY55)*(N(AY52)^2+N(AY53)^2))/((N(AY52)+N(AY54))^2+(N(AY53)+N(AY55))^2)))</f>
        <v>1E+30</v>
      </c>
      <c r="AZ51" s="72"/>
      <c r="BA51" s="335">
        <f>IF(AND(H50="",SUM(S50:S53)&lt;&gt;0),BA47,H50)</f>
        <v>0</v>
      </c>
      <c r="BB51" s="285">
        <f t="shared" si="0"/>
        <v>0</v>
      </c>
      <c r="BC51" s="72"/>
      <c r="BD51" s="72"/>
    </row>
    <row r="52" spans="1:56" ht="15" customHeight="1" x14ac:dyDescent="0.15">
      <c r="A52" s="367"/>
      <c r="B52" s="358" t="s">
        <v>240</v>
      </c>
      <c r="D52" s="648"/>
      <c r="E52" s="728"/>
      <c r="F52" s="688"/>
      <c r="G52" s="688"/>
      <c r="H52" s="688"/>
      <c r="I52" s="688"/>
      <c r="J52" s="688"/>
      <c r="K52" s="689"/>
      <c r="L52" s="690"/>
      <c r="M52" s="691"/>
      <c r="N52" s="676"/>
      <c r="O52" s="336"/>
      <c r="P52" s="339"/>
      <c r="Q52" s="342"/>
      <c r="R52" s="339"/>
      <c r="S52" s="112" t="str">
        <f t="shared" si="1"/>
        <v/>
      </c>
      <c r="T52" s="340"/>
      <c r="U52" s="114" t="str">
        <f>IF(OR(BA52="",S52=""),"",S52*1000*T52/(SQRT(BA50)*BA52))</f>
        <v/>
      </c>
      <c r="V52" s="115" t="str">
        <f>IF(AND(N(U50)=0,N(U51)=0,N(U52)=0,N(U53)=0),"",V50*(P50*R50*T50+P51*R51*T51+P52*R52*T52+P53*R53*T53)/(P50*T50+P51*T51+P52*T52+P53*T53))</f>
        <v/>
      </c>
      <c r="W52" s="692" t="str">
        <f>IF(AND(N(AP52)=0,N(AP53)=0,N(AP51)=0),"",IF(AP53&gt;=0,COS(ATAN(AP53/AP52)),-COS(ATAN(AP53/AP52))))</f>
        <v/>
      </c>
      <c r="X52" s="343"/>
      <c r="Y52" s="344"/>
      <c r="Z52" s="345"/>
      <c r="AA52" s="346"/>
      <c r="AB52" s="347"/>
      <c r="AC52" s="344"/>
      <c r="AD52" s="345"/>
      <c r="AE52" s="348"/>
      <c r="AF52" s="116" t="str">
        <f>IF(OR(AF50="",AG46&lt;&gt;""),"",BA52/SQRT(AW52^2+AW53^2))</f>
        <v/>
      </c>
      <c r="AG52" s="663" t="str">
        <f>IF(AG50="","",100*((BA52/AQ51)-AG50)/(BA52/AQ51))</f>
        <v/>
      </c>
      <c r="AH52" s="664"/>
      <c r="AI52" s="666"/>
      <c r="AJ52" s="667"/>
      <c r="AK52" s="669"/>
      <c r="AL52" s="368"/>
      <c r="AM52" s="72"/>
      <c r="AN52" s="117" t="b">
        <f>IF(BA50="","",IF(AND(VALUE(BA50)=3,L50="油入自冷"),VLOOKUP(L52,変３,F52-48,FALSE),IF(AND(VALUE(BA50)=3,L50="モールド絶縁"),VLOOKUP(L52,変３,F52-43,FALSE))))</f>
        <v>0</v>
      </c>
      <c r="AO52" s="107" t="str">
        <f>IF(AND(L46="",N(AY50)&lt;10^29),AY50,"")</f>
        <v/>
      </c>
      <c r="AP52" s="118" t="str">
        <f>IF(V50="","",IF(AND(N(V52)=0,N(AP51)=0),"",AQ52/((AQ52*AP51)^2+(AP51*AQ53-1)^2)))</f>
        <v/>
      </c>
      <c r="AQ52" s="105">
        <f>IF(N(V52)=0,10^30,V52)</f>
        <v>1E+30</v>
      </c>
      <c r="AR52" s="107" t="str">
        <f>IF(AB50="","",IF(AB50="600V IV",VLOOKUP(AB52,ＩＶ,2,FALSE),IF(AB50="600V CV-T",VLOOKUP(AB52,ＣＶＴ,2,FALSE),IF(OR(AB50="600V CV-1C",AB50="600V CV-2C",AB50="600V CV-3C",AB50="600V CV-4C"),VLOOKUP(AB52,ＣＶ２３Ｃ,2,FALSE),VLOOKUP(AB52,ＣＵＳＥＲ,2,FALSE)))))</f>
        <v/>
      </c>
      <c r="AS52" s="105" t="str">
        <f>IF(OR(AND(AS54="",AS55=""),AND(D50="",D54&lt;&gt;"")),AS50,(AS50*(AT54^2+AT55^2)+AT54*(AS50^2+AS51^2))/((AS50+AT54)^2+(AS51+AT55)^2))</f>
        <v/>
      </c>
      <c r="AT52" s="108" t="str">
        <f>IF(X53="",AS52,N(AS52)+(X53/1000))</f>
        <v/>
      </c>
      <c r="AU52" s="108" t="str">
        <f>IF(AU50="","",(AT52*(AU50^2+AU51^2)+AU50*(AT52^2+AT53^2))/((AT52+AU50)^2+(AT53+AU51)^2))</f>
        <v/>
      </c>
      <c r="AV52" s="108">
        <f>IF(BA52=0,1,0)</f>
        <v>1</v>
      </c>
      <c r="AW52" s="109" t="str">
        <f>IF(AO52="","",AW50+AO52)</f>
        <v/>
      </c>
      <c r="AX52" s="110" t="str">
        <f>IF(AND(AX48="",AW52&lt;&gt;""),BA52*SQRT(AW50^2+AW51^2)/SQRT(AW52^2+AW53^2),IF(BA52&lt;&gt;0,AX48,""))</f>
        <v/>
      </c>
      <c r="AY52" s="350">
        <f>IF(L52="",10^30,SQRT(BA50)*(BA52^2)*(N(AN50)+N(AN52)+N(AO50)+N(AV50))/(100000*L52*M50))</f>
        <v>1E+30</v>
      </c>
      <c r="AZ52" s="351"/>
      <c r="BA52" s="335">
        <f>IF(AND(J50="",SUM(S50:S53)&lt;&gt;0),BA48,J50)</f>
        <v>0</v>
      </c>
      <c r="BB52" s="285">
        <f t="shared" si="0"/>
        <v>0</v>
      </c>
      <c r="BC52" s="72"/>
      <c r="BD52" s="72"/>
    </row>
    <row r="53" spans="1:56" ht="15" customHeight="1" x14ac:dyDescent="0.15">
      <c r="A53" s="367"/>
      <c r="B53" s="358" t="s">
        <v>241</v>
      </c>
      <c r="D53" s="649"/>
      <c r="E53" s="729"/>
      <c r="F53" s="694"/>
      <c r="G53" s="694"/>
      <c r="H53" s="694"/>
      <c r="I53" s="694"/>
      <c r="J53" s="694"/>
      <c r="K53" s="695"/>
      <c r="L53" s="696" t="str">
        <f>IF(M50="","",L52*1000*M50/(SQRT(BA50)*BA52))</f>
        <v/>
      </c>
      <c r="M53" s="697"/>
      <c r="N53" s="677"/>
      <c r="O53" s="352"/>
      <c r="P53" s="355"/>
      <c r="Q53" s="354"/>
      <c r="R53" s="355"/>
      <c r="S53" s="119" t="str">
        <f t="shared" si="1"/>
        <v/>
      </c>
      <c r="T53" s="356"/>
      <c r="U53" s="120" t="str">
        <f>IF(OR(BA52="",S53=""),"",S53*1000*T53/(SQRT(BA50)*BA52))</f>
        <v/>
      </c>
      <c r="V53" s="121" t="str">
        <f>IF(AND(N(U50)=0,N(U51)=0,N(U52)=0,N(U53)=0),"",IF(V50&gt;=0,SQRT(ABS(V50^2-V52^2)),-SQRT(V50^2-V52^2)))</f>
        <v/>
      </c>
      <c r="W53" s="693"/>
      <c r="X53" s="698" t="str">
        <f>IF(Y52="","",AQ50*Z52*AR50*((1+0.00393*(F53-20))/1.2751)/Y52)</f>
        <v/>
      </c>
      <c r="Y53" s="699"/>
      <c r="Z53" s="700" t="str">
        <f>IF(Y52="","",(BA53/50)*AQ50*Z52*AR51/Y52)</f>
        <v/>
      </c>
      <c r="AA53" s="701"/>
      <c r="AB53" s="702" t="str">
        <f>IF(AC52="","",AQ50*AD52*AR52*((1+0.00393*(F53-20))/1.2751)/AC52)</f>
        <v/>
      </c>
      <c r="AC53" s="699"/>
      <c r="AD53" s="700" t="str">
        <f>IF(AC52="","",(BA53/50)*AQ50*AD52*AR53/AC52)</f>
        <v/>
      </c>
      <c r="AE53" s="703"/>
      <c r="AF53" s="122" t="str">
        <f>IF(AND(AX50&lt;&gt;"",D50=""),AX50,"")</f>
        <v/>
      </c>
      <c r="AG53" s="698" t="str">
        <f>IF(AP52="","",AP52)</f>
        <v/>
      </c>
      <c r="AH53" s="699"/>
      <c r="AI53" s="123" t="str">
        <f>IF(AP53="","",AP53)</f>
        <v/>
      </c>
      <c r="AJ53" s="668"/>
      <c r="AK53" s="670"/>
      <c r="AL53" s="365"/>
      <c r="AM53" s="72"/>
      <c r="AN53" s="270" t="b">
        <f>IF(BA50="","",IF(AND(VALUE(BA50)=3,L50="油入自冷"),VLOOKUP(L52,変３,F52-47,FALSE),IF(AND(VALUE(BA50)=3,L50="モールド絶縁"),VLOOKUP(L52,変３,F52-42,FALSE))))</f>
        <v>0</v>
      </c>
      <c r="AO53" s="270" t="str">
        <f>IF(AND(L46="",N(AY51)&lt;10^29),AY51,"")</f>
        <v/>
      </c>
      <c r="AP53" s="271" t="str">
        <f>IF(V50="","",IF(AND(N(V53)=0,N(AP51)=0),0,(AQ53-AP51*(AQ52^2+AQ53^2))/((AQ52*AP51)^2+(AP51*AQ53-1)^2)))</f>
        <v/>
      </c>
      <c r="AQ53" s="272">
        <f>IF(N(V53)=0,10^30,V53)</f>
        <v>1E+30</v>
      </c>
      <c r="AR53" s="270" t="str">
        <f>IF(AB50="","",IF(AB50="600V IV",VLOOKUP(AB52,ＩＶ,3,FALSE),IF(AB50="600V CV-T",VLOOKUP(AB52,ＣＶＴ,3,FALSE),IF(OR(AB50="600V CV-1C",AB50="600V CV-2C",AB50="600V CV-3C",AB50="600V CV-4C"),VLOOKUP(AB52,ＣＶ２３Ｃ,3,FALSE),VLOOKUP(AB52,ＣＵＳＥＲ,3,FALSE)))))</f>
        <v/>
      </c>
      <c r="AS53" s="272" t="str">
        <f>IF(OR(AND(AS54="",AS55=""),AND(D50="",D54&lt;&gt;"")),AS51,(AS51*(AT54^2+AT55^2)+AT55*(AS50^2+AS51^2))/((AS50+AT54)^2+(AS51+AT55)^2))</f>
        <v/>
      </c>
      <c r="AT53" s="273" t="str">
        <f>IF(Z53="",AS53,N(AS53)+(Z53/1000))</f>
        <v/>
      </c>
      <c r="AU53" s="273" t="str">
        <f>IF(AU51="","",(AT53*(AU50^2+AU51^2)+AU51*(AT52^2+AT53^2))/((AT52+AU50)^2+(AT53+AU51)^2))</f>
        <v/>
      </c>
      <c r="AV53" s="273">
        <f>AV49+AV52</f>
        <v>8</v>
      </c>
      <c r="AW53" s="272" t="str">
        <f>IF(AO53="","",AW51+AO53)</f>
        <v/>
      </c>
      <c r="AX53" s="274"/>
      <c r="AY53" s="350">
        <f>IF(L52="",10^30,SQRT(BA50)*(BA52^2)*(N(AN51)+N(AN53)+N(AO51)+N(AV51))/(100000*L52*M50))</f>
        <v>1E+30</v>
      </c>
      <c r="AZ53" s="351"/>
      <c r="BA53" s="335">
        <f>IF(AND(F52="",SUM(S50:S53)&lt;&gt;0),BA49,F52)</f>
        <v>0</v>
      </c>
      <c r="BB53" s="285">
        <f t="shared" si="0"/>
        <v>0</v>
      </c>
      <c r="BC53" s="72"/>
      <c r="BD53" s="72"/>
    </row>
    <row r="54" spans="1:56" ht="15" customHeight="1" x14ac:dyDescent="0.15">
      <c r="A54" s="367"/>
      <c r="B54" s="358"/>
      <c r="D54" s="647"/>
      <c r="E54" s="712"/>
      <c r="F54" s="653"/>
      <c r="G54" s="655" t="str">
        <f>IF(F54="","","φ")</f>
        <v/>
      </c>
      <c r="H54" s="657"/>
      <c r="I54" s="655" t="str">
        <f>IF(H54="","","W")</f>
        <v/>
      </c>
      <c r="J54" s="657"/>
      <c r="K54" s="671" t="str">
        <f>IF(J54="","","V")</f>
        <v/>
      </c>
      <c r="L54" s="673"/>
      <c r="M54" s="124"/>
      <c r="N54" s="675"/>
      <c r="O54" s="329"/>
      <c r="P54" s="330"/>
      <c r="Q54" s="331"/>
      <c r="R54" s="332"/>
      <c r="S54" s="277" t="str">
        <f t="shared" si="1"/>
        <v/>
      </c>
      <c r="T54" s="359"/>
      <c r="U54" s="266" t="str">
        <f>IF(OR(BA56="",S54=""),"",S54*1000*T54/(SQRT(BA54)*BA56))</f>
        <v/>
      </c>
      <c r="V54" s="678" t="str">
        <f>IF(AND(N(U54)=0,N(U55)=0,N(U56)=0,N(U57)=0),"",BA56/(SUM(U54:U57)))</f>
        <v/>
      </c>
      <c r="W54" s="680"/>
      <c r="X54" s="682"/>
      <c r="Y54" s="683"/>
      <c r="Z54" s="684"/>
      <c r="AA54" s="704"/>
      <c r="AB54" s="706"/>
      <c r="AC54" s="683"/>
      <c r="AD54" s="684"/>
      <c r="AE54" s="708"/>
      <c r="AF54" s="125" t="str">
        <f>IF(OR(AND(AF50="",N(BA52)=0,BA56&lt;&gt;0),D54&lt;&gt;""),AX56/AQ55,"")</f>
        <v/>
      </c>
      <c r="AG54" s="710" t="str">
        <f>IF(BA56=0,"",IF(AD56="",AX54,IF(AND(D54&lt;&gt;"",AU54=""),AX56*SQRT(AP56^2+AP57^2)/SQRT(AS54^2+AS55^2)/AQ55,AX54*SQRT(AP56^2+AP57^2)/SQRT(AS54^2+AS55^2))))</f>
        <v/>
      </c>
      <c r="AH54" s="711"/>
      <c r="AI54" s="126" t="str">
        <f>IF(AG54="","",IF(N(U54)&lt;0,-AX54*AQ55/SQRT(AS54^2+AS55^2),AX54*AQ55/SQRT(AS54^2+AS55^2)))</f>
        <v/>
      </c>
      <c r="AJ54" s="659"/>
      <c r="AK54" s="660"/>
      <c r="AL54" s="369"/>
      <c r="AM54" s="72"/>
      <c r="AN54" s="105" t="b">
        <f>IF(BA54="","",IF(AND(VALUE(BA54)=1,L54="油入自冷"),VLOOKUP(L56,変１,F56-48,FALSE),IF(AND(VALUE(BA54)=1,L54="モールド絶縁"),VLOOKUP(L56,変１,F56-43,FALSE))))</f>
        <v>0</v>
      </c>
      <c r="AO54" s="105">
        <f>IF(ISNA(VLOOKUP(L56,変ＵＳＥＲ,2,FALSE)),0,VLOOKUP(L56,変ＵＳＥＲ,2,FALSE))</f>
        <v>0</v>
      </c>
      <c r="AP54" s="106">
        <f>IF(N54="",0,N54*1000/BA56^2/SQRT(BA54))</f>
        <v>0</v>
      </c>
      <c r="AQ54" s="105" t="b">
        <f>IF(VALUE(BA54)=1,2,IF(BA54=3,SQRT(3),FALSE))</f>
        <v>0</v>
      </c>
      <c r="AR54" s="107" t="str">
        <f>IF(X54="","",IF(X54="600V IV",VLOOKUP(X56,ＩＶ,2,FALSE),IF(X54="600V CV-T",VLOOKUP(X56,ＣＶＴ,2,FALSE),IF(OR(X54="600V CV-1C",X54="600V CV-2C",X54="600V CV-3C",X54="600V CV-4C"),VLOOKUP(X56,ＣＶ２３Ｃ,2,FALSE),VLOOKUP(X56,ＣＵＳＥＲ,2,FALSE)))))</f>
        <v/>
      </c>
      <c r="AS54" s="105" t="str">
        <f>IF(AB57="",AP56,AP56+(AB57/1000))</f>
        <v/>
      </c>
      <c r="AT54" s="108" t="str">
        <f>IF(AU56="",AT56,AU56)</f>
        <v/>
      </c>
      <c r="AU54" s="108" t="str">
        <f>IF(D54="","",IF(AND(D58="",D62&lt;&gt;"",AV57=AV65),AT62,IF(AND(D58="",D62="",D66&lt;&gt;"",AV61=AV69),AT66,IF(AND(D58="",D62="",D66="",D70&lt;&gt;"",AV65=AV73),AT70,IF(AND(D58="",D62="",D66="",D70="",D74&lt;&gt;"",AV69=AV77),AT74,IF(AND(D58="",D62="",D66="",D70="",D74="",D78&lt;&gt;"",AV73=AV81),AT78,IF(AND(D58="",D62="",D66="",D70="",D74="",D78="",D82&lt;&gt;"",AV77=AV85),AT82,"")))))))</f>
        <v/>
      </c>
      <c r="AV54" s="108" t="str">
        <f>IF(L54="発電機",IF(ISNA(VLOOKUP(L56,ＡＣＧ,2,FALSE)),0,VLOOKUP(L56,ＡＣＧ,2,FALSE)),"")</f>
        <v/>
      </c>
      <c r="AW54" s="109" t="str">
        <f>IF(AT54="","",AT54/((AT54*AP54)^2+(AT55*AP54-1)^2))</f>
        <v/>
      </c>
      <c r="AX54" s="110" t="str">
        <f>IF(BA56=0,"",IF(OR(AX50="",AF54&lt;&gt;""),AF54*SQRT(AS56^2+AS57^2)/SQRT(AT56^2+AT57^2),AX50*SQRT(AS56^2+AS57^2)/SQRT(AT56^2+AT57^2)))</f>
        <v/>
      </c>
      <c r="AY54" s="334">
        <f>IF(N(AY56)=10^30,10^30,IF(N(AY60)=10^30,(N(AY56)*(N(AY60)^2+N(AY61)^2)+N(AY60)*(N(AY56)^2+N(AY57)^2))/((N(AY56)+N(AY60))^2+(N(AY57)+N(AY61))^2),(N(AY56)*(N(AY58)^2+N(AY59)^2)+N(AY58)*(N(AY56)^2+N(AY57)^2))/((N(AY56)+N(AY58))^2+(N(AY57)+N(AY59))^2)))</f>
        <v>1E+30</v>
      </c>
      <c r="AZ54" s="72"/>
      <c r="BA54" s="335">
        <f>IF(AND(F54="",SUM(S54:S57)&lt;&gt;0),BA50,F54)</f>
        <v>0</v>
      </c>
      <c r="BB54" s="285">
        <f t="shared" si="0"/>
        <v>0</v>
      </c>
      <c r="BC54" s="72"/>
      <c r="BD54" s="72"/>
    </row>
    <row r="55" spans="1:56" ht="15" customHeight="1" x14ac:dyDescent="0.15">
      <c r="A55" s="367"/>
      <c r="B55" s="358"/>
      <c r="D55" s="648"/>
      <c r="E55" s="713"/>
      <c r="F55" s="654"/>
      <c r="G55" s="656"/>
      <c r="H55" s="658"/>
      <c r="I55" s="656"/>
      <c r="J55" s="658"/>
      <c r="K55" s="672"/>
      <c r="L55" s="674"/>
      <c r="M55" s="111" t="str">
        <f>IF(L54="発電機",SQRT(AV54^2+AV55^2),IF(L56="","",IF(OR(L54="油入自冷",L54="モ－ルド絶縁"),IF(BA54=1,SQRT(AN54^2+AN55^2),IF(BA54=3,SQRT(AN56^2+AN57^2))),SQRT(AO54^2+AO55^2))))</f>
        <v/>
      </c>
      <c r="N55" s="676"/>
      <c r="O55" s="336"/>
      <c r="P55" s="337"/>
      <c r="Q55" s="338"/>
      <c r="R55" s="339"/>
      <c r="S55" s="279" t="str">
        <f>IF(R56="","",IF(Q56="",P56/R56,P56/(Q56*R56)))</f>
        <v/>
      </c>
      <c r="T55" s="361"/>
      <c r="U55" s="268" t="str">
        <f>IF(OR(BA56="",S55=""),"",S55*1000*T55/(SQRT(BA54)*BA56))</f>
        <v/>
      </c>
      <c r="V55" s="679"/>
      <c r="W55" s="681"/>
      <c r="X55" s="685"/>
      <c r="Y55" s="686"/>
      <c r="Z55" s="687"/>
      <c r="AA55" s="705"/>
      <c r="AB55" s="707"/>
      <c r="AC55" s="686"/>
      <c r="AD55" s="687"/>
      <c r="AE55" s="709"/>
      <c r="AF55" s="113" t="str">
        <f>IF(OR(AF54="",AG50&lt;&gt;""),"",AF54*AQ55/SQRT(AT54^2+AT55^2))</f>
        <v/>
      </c>
      <c r="AG55" s="663" t="str">
        <f>IF(AG54="","",100*AG54*AQ55/BA56)</f>
        <v/>
      </c>
      <c r="AH55" s="664"/>
      <c r="AI55" s="665" t="str">
        <f>IF(BA56=0,"",IF(AI50="",AX56/SQRT(AT54^2+AT55^2),IF(AI58="","",IF(AT54&lt;0,-AX54*AQ51/SQRT(AT54^2+AT55^2),AX54*AQ51/SQRT(AT54^2+AT55^2)))))</f>
        <v/>
      </c>
      <c r="AJ55" s="661"/>
      <c r="AK55" s="662"/>
      <c r="AL55" s="370"/>
      <c r="AM55" s="72"/>
      <c r="AN55" s="105" t="b">
        <f>IF(BA54="","",IF(AND(VALUE(BA54)=1,L54="油入自冷"),VLOOKUP(L56,変１,F56-47,FALSE),IF(AND(VALUE(BA54)=1,L54="モールド絶縁"),VLOOKUP(L56,変１,F56-42,FALSE))))</f>
        <v>0</v>
      </c>
      <c r="AO55" s="105">
        <f>IF(ISNA(VLOOKUP(L56,変ＵＳＥＲ,3,FALSE)),0,VLOOKUP(L56,変ＵＳＥＲ,3,FALSE)*BA57/50)</f>
        <v>0</v>
      </c>
      <c r="AP55" s="106">
        <f>IF(W54="",0,W54*1000/BA56^2/SQRT(BA54))</f>
        <v>0</v>
      </c>
      <c r="AQ55" s="105">
        <f>IF(AND(VALUE(BA54)=1,VALUE(BA55)=2),1,IF(AND(VALUE(BA54)=3,VALUE(BA55)=3),1,IF(AND(VALUE(BA54)=1,VALUE(BA55)=3),2,IF(AND(VALUE(BA54)=3,VALUE(BA55)=4)*OR(VALUE(BB54)=1,VALUE(BB55)=1,VALUE(BB56)=1,VALUE(BB57)=1),1,SQRT(3)))))</f>
        <v>1.7320508075688772</v>
      </c>
      <c r="AR55" s="107" t="str">
        <f>IF(X54="","",IF(X54="600V IV",VLOOKUP(X56,ＩＶ,3,FALSE),IF(X54="600V CV-T",VLOOKUP(X56,ＣＶＴ,3,FALSE),IF(OR(X54="600V CV-1C",X54="600V CV-2C",X54="600V CV-3C",X54="600V CV-4C"),VLOOKUP(X56,ＣＶ２３Ｃ,3,FALSE),VLOOKUP(X56,ＣＵＳＥＲ,3,FALSE)))))</f>
        <v/>
      </c>
      <c r="AS55" s="105" t="str">
        <f>IF(AD57="",AP57,AP57+(AD57/1000))</f>
        <v/>
      </c>
      <c r="AT55" s="108" t="str">
        <f>IF(AU57="",AT57,AU57)</f>
        <v/>
      </c>
      <c r="AU55" s="108" t="str">
        <f>IF(D54="","",IF(AND(D58="",D62&lt;&gt;"",AV57=AV65),AT63,IF(AND(D58="",D62="",D66&lt;&gt;"",AV61=AV69),AT67,IF(AND(D58="",D62="",D66="",D70&lt;&gt;"",AV65=AV73),AT71,IF(AND(D58="",D62="",D66="",D70="",D74&lt;&gt;"",AV69=AV77),AT75,IF(AND(D58="",D62="",D66="",D70="",D74="",D78&lt;&gt;"",AV73=AV81),AT79,IF(AND(D58="",D62="",D66="",D70="",D74="",D78="",D82&lt;&gt;"",AV77=AV85),AT83,"")))))))</f>
        <v/>
      </c>
      <c r="AV55" s="107" t="str">
        <f>IF(L54="発電機",IF(ISNA(VLOOKUP(L56,ＡＣＧ,3,FALSE)),0,VLOOKUP(L56,ＡＣＧ,3,FALSE)*BA57/50),"")</f>
        <v/>
      </c>
      <c r="AW55" s="109" t="str">
        <f>IF(AT55="","",(AT55-AP54*(AT54^2+AT55^2))/((AT54*AP54)^2+(AP54*AT55-1)^2))</f>
        <v/>
      </c>
      <c r="AX55" s="110"/>
      <c r="AY55" s="334">
        <f>IF(N(AY57)=10^30,10^30,IF(N(AY61)=10^30,(N(AY57)*(N(AY60)^2+N(AY61)^2)+N(AY61)*(N(AY56)^2+N(AY57)^2))/((N(AY56)+N(AY60))^2+(N(AY57)+N(AY61))^2),(N(AY57)*(N(AY58)^2+N(AY59)^2)+N(AY59)*(N(AY56)^2+N(AY57)^2))/((N(AY56)+N(AY58))^2+(N(AY57)+N(AY59))^2)))</f>
        <v>1E+30</v>
      </c>
      <c r="AZ55" s="72"/>
      <c r="BA55" s="335">
        <f>IF(AND(H54="",SUM(S54:S57)&lt;&gt;0),BA51,H54)</f>
        <v>0</v>
      </c>
      <c r="BB55" s="285">
        <f t="shared" si="0"/>
        <v>0</v>
      </c>
      <c r="BC55" s="72"/>
      <c r="BD55" s="72"/>
    </row>
    <row r="56" spans="1:56" ht="15" customHeight="1" x14ac:dyDescent="0.15">
      <c r="A56" s="367"/>
      <c r="B56" s="358"/>
      <c r="D56" s="648"/>
      <c r="E56" s="713"/>
      <c r="F56" s="688"/>
      <c r="G56" s="688"/>
      <c r="H56" s="688"/>
      <c r="I56" s="688"/>
      <c r="J56" s="688"/>
      <c r="K56" s="689"/>
      <c r="L56" s="690"/>
      <c r="M56" s="691"/>
      <c r="N56" s="676"/>
      <c r="O56" s="336"/>
      <c r="P56" s="341"/>
      <c r="Q56" s="342"/>
      <c r="R56" s="339"/>
      <c r="S56" s="279" t="str">
        <f>IF(R57="","",IF(Q57="",P57/R57,P57/(Q57*R57)))</f>
        <v/>
      </c>
      <c r="T56" s="361"/>
      <c r="U56" s="114" t="str">
        <f>IF(OR(BA56="",S56=""),"",S56*1000*T56/(SQRT(BA54)*BA56))</f>
        <v/>
      </c>
      <c r="V56" s="115" t="str">
        <f>IF(AND(N(U54)=0,N(U55)=0,N(U56)=0,N(U57)=0),"",V54*(P54*R54*T54+P55*R55*T55+P56*R56*T56+P57*R57*T57)/(P54*T54+P55*T55+P56*T56+P57*T57))</f>
        <v/>
      </c>
      <c r="W56" s="692" t="str">
        <f>IF(AND(N(AP56)=0,N(AP57)=0,N(AP55)=0),"",IF(AP57&gt;=0,COS(ATAN(AP57/AP56)),-COS(ATAN(AP57/AP56))))</f>
        <v/>
      </c>
      <c r="X56" s="343"/>
      <c r="Y56" s="344"/>
      <c r="Z56" s="345"/>
      <c r="AA56" s="346"/>
      <c r="AB56" s="347"/>
      <c r="AC56" s="344"/>
      <c r="AD56" s="345"/>
      <c r="AE56" s="348"/>
      <c r="AF56" s="116" t="str">
        <f>IF(OR(AF54="",AG50&lt;&gt;""),"",BA56/SQRT(AW56^2+AW57^2))</f>
        <v/>
      </c>
      <c r="AG56" s="663" t="str">
        <f>IF(AG54="","",100*((BA56/AQ55)-AG54)/(BA56/AQ55))</f>
        <v/>
      </c>
      <c r="AH56" s="664"/>
      <c r="AI56" s="666"/>
      <c r="AJ56" s="667"/>
      <c r="AK56" s="669"/>
      <c r="AL56" s="349"/>
      <c r="AM56" s="72"/>
      <c r="AN56" s="117" t="b">
        <f>IF(BA54="","",IF(AND(VALUE(BA54)=3,L54="油入自冷"),VLOOKUP(L56,変３,F56-48,FALSE),IF(AND(VALUE(BA54)=3,L54="モールド絶縁"),VLOOKUP(L56,変３,F56-43,FALSE))))</f>
        <v>0</v>
      </c>
      <c r="AO56" s="107" t="str">
        <f>IF(AND(L50="",N(AY54)&lt;10^29),AY54,"")</f>
        <v/>
      </c>
      <c r="AP56" s="118" t="str">
        <f>IF(V54="","",IF(AND(N(V56)=0,N(AP55)=0),"",AQ56/((AQ56*AP55)^2+(AP55*AQ57-1)^2)))</f>
        <v/>
      </c>
      <c r="AQ56" s="105">
        <f>IF(N(V56)=0,10^30,V56)</f>
        <v>1E+30</v>
      </c>
      <c r="AR56" s="107" t="str">
        <f>IF(AB54="","",IF(AB54="600V IV",VLOOKUP(AB56,ＩＶ,2,FALSE),IF(AB54="600V CV-T",VLOOKUP(AB56,ＣＶＴ,2,FALSE),IF(OR(AB54="600V CV-1C",AB54="600V CV-2C",AB54="600V CV-3C",AB54="600V CV-4C"),VLOOKUP(AB56,ＣＶ２３Ｃ,2,FALSE),VLOOKUP(AB56,ＣＵＳＥＲ,2,FALSE)))))</f>
        <v/>
      </c>
      <c r="AS56" s="105" t="str">
        <f>IF(OR(AND(AS58="",AS59=""),AND(D54="",D58&lt;&gt;"")),AS54,(AS54*(AT58^2+AT59^2)+AT58*(AS54^2+AS55^2))/((AS54+AT58)^2+(AS55+AT59)^2))</f>
        <v/>
      </c>
      <c r="AT56" s="108" t="str">
        <f>IF(X57="",AS56,N(AS56)+(X57/1000))</f>
        <v/>
      </c>
      <c r="AU56" s="108" t="str">
        <f>IF(AU54="","",(AT56*(AU54^2+AU55^2)+AU54*(AT56^2+AT57^2))/((AT56+AU54)^2+(AT57+AU55)^2))</f>
        <v/>
      </c>
      <c r="AV56" s="108">
        <f>IF(BA56=0,1,0)</f>
        <v>1</v>
      </c>
      <c r="AW56" s="109" t="str">
        <f>IF(AO56="","",AW54+AO56)</f>
        <v/>
      </c>
      <c r="AX56" s="110" t="str">
        <f>IF(AND(AX52="",AW56&lt;&gt;""),BA56*SQRT(AW54^2+AW55^2)/SQRT(AW56^2+AW57^2),IF(BA56&lt;&gt;0,AX52,""))</f>
        <v/>
      </c>
      <c r="AY56" s="350">
        <f>IF(L56="",10^30,SQRT(BA54)*(BA56^2)*(N(AN54)+N(AN56)+N(AO54)+N(AV54))/(100000*L56*M54))</f>
        <v>1E+30</v>
      </c>
      <c r="AZ56" s="351"/>
      <c r="BA56" s="335">
        <f>IF(AND(J54="",SUM(S54:S57)&lt;&gt;0),BA52,J54)</f>
        <v>0</v>
      </c>
      <c r="BB56" s="285">
        <f t="shared" si="0"/>
        <v>0</v>
      </c>
      <c r="BC56" s="72"/>
      <c r="BD56" s="72"/>
    </row>
    <row r="57" spans="1:56" ht="15" customHeight="1" x14ac:dyDescent="0.15">
      <c r="A57" s="367"/>
      <c r="B57" s="358"/>
      <c r="D57" s="649"/>
      <c r="E57" s="714"/>
      <c r="F57" s="694"/>
      <c r="G57" s="694"/>
      <c r="H57" s="694"/>
      <c r="I57" s="694"/>
      <c r="J57" s="694"/>
      <c r="K57" s="695"/>
      <c r="L57" s="696" t="str">
        <f>IF(M54="","",L56*1000*M54/(SQRT(BA54)*BA56))</f>
        <v/>
      </c>
      <c r="M57" s="697"/>
      <c r="N57" s="677"/>
      <c r="O57" s="352"/>
      <c r="P57" s="353"/>
      <c r="Q57" s="354"/>
      <c r="R57" s="355"/>
      <c r="S57" s="280" t="str">
        <f>IF(R57="","",IF(Q57="",P57/R57,P57/(Q57*R57)))</f>
        <v/>
      </c>
      <c r="T57" s="362"/>
      <c r="U57" s="120" t="str">
        <f>IF(OR(BA56="",S57=""),"",S57*1000*T57/(SQRT(BA54)*BA56))</f>
        <v/>
      </c>
      <c r="V57" s="121" t="str">
        <f>IF(AND(N(U54)=0,N(U55)=0,N(U56)=0,N(U57)=0),"",IF(V54&gt;=0,SQRT(ABS(V54^2-V56^2)),-SQRT(V54^2-V56^2)))</f>
        <v/>
      </c>
      <c r="W57" s="693"/>
      <c r="X57" s="698" t="str">
        <f>IF(Y56="","",AQ54*Z56*AR54*((1+0.00393*(F57-20))/1.2751)/Y56)</f>
        <v/>
      </c>
      <c r="Y57" s="699"/>
      <c r="Z57" s="700" t="str">
        <f>IF(Y56="","",(BA57/50)*AQ54*Z56*AR55/Y56)</f>
        <v/>
      </c>
      <c r="AA57" s="701"/>
      <c r="AB57" s="702" t="str">
        <f>IF(AC56="","",AQ54*AD56*AR56*((1+0.00393*(F57-20))/1.2751)/AC56)</f>
        <v/>
      </c>
      <c r="AC57" s="699"/>
      <c r="AD57" s="700" t="str">
        <f>IF(AC56="","",(BA57/50)*AQ54*AD56*AR57/AC56)</f>
        <v/>
      </c>
      <c r="AE57" s="703"/>
      <c r="AF57" s="122" t="str">
        <f>IF(AND(AX54&lt;&gt;"",D54=""),AX54,"")</f>
        <v/>
      </c>
      <c r="AG57" s="698" t="str">
        <f>IF(AP56="","",AP56)</f>
        <v/>
      </c>
      <c r="AH57" s="699"/>
      <c r="AI57" s="123" t="str">
        <f>IF(AP57="","",AP57)</f>
        <v/>
      </c>
      <c r="AJ57" s="668"/>
      <c r="AK57" s="670"/>
      <c r="AL57" s="357"/>
      <c r="AM57" s="72"/>
      <c r="AN57" s="270" t="b">
        <f>IF(BA54="","",IF(AND(VALUE(BA54)=3,L54="油入自冷"),VLOOKUP(L56,変３,F56-47,FALSE),IF(AND(VALUE(BA54)=3,L54="モールド絶縁"),VLOOKUP(L56,変３,F56-42,FALSE))))</f>
        <v>0</v>
      </c>
      <c r="AO57" s="270" t="str">
        <f>IF(AND(L50="",N(AY55)&lt;10^29),AY55,"")</f>
        <v/>
      </c>
      <c r="AP57" s="271" t="str">
        <f>IF(V54="","",IF(AND(N(V57)=0,N(AP55)=0),0,(AQ57-AP55*(AQ56^2+AQ57^2))/((AQ56*AP55)^2+(AP55*AQ57-1)^2)))</f>
        <v/>
      </c>
      <c r="AQ57" s="272">
        <f>IF(N(V57)=0,10^30,V57)</f>
        <v>1E+30</v>
      </c>
      <c r="AR57" s="270" t="str">
        <f>IF(AB54="","",IF(AB54="600V IV",VLOOKUP(AB56,ＩＶ,3,FALSE),IF(AB54="600V CV-T",VLOOKUP(AB56,ＣＶＴ,3,FALSE),IF(OR(AB54="600V CV-1C",AB54="600V CV-2C",AB54="600V CV-3C",AB54="600V CV-4C"),VLOOKUP(AB56,ＣＶ２３Ｃ,3,FALSE),VLOOKUP(AB56,ＣＵＳＥＲ,3,FALSE)))))</f>
        <v/>
      </c>
      <c r="AS57" s="272" t="str">
        <f>IF(OR(AND(AS58="",AS59=""),AND(D54="",D58&lt;&gt;"")),AS55,(AS55*(AT58^2+AT59^2)+AT59*(AS54^2+AS55^2))/((AS54+AT58)^2+(AS55+AT59)^2))</f>
        <v/>
      </c>
      <c r="AT57" s="273" t="str">
        <f>IF(Z57="",AS57,N(AS57)+(Z57/1000))</f>
        <v/>
      </c>
      <c r="AU57" s="273" t="str">
        <f>IF(AU55="","",(AT57*(AU54^2+AU55^2)+AU55*(AT56^2+AT57^2))/((AT56+AU54)^2+(AT57+AU55)^2))</f>
        <v/>
      </c>
      <c r="AV57" s="273">
        <f>AV53+AV56</f>
        <v>9</v>
      </c>
      <c r="AW57" s="272" t="str">
        <f>IF(AO57="","",AW55+AO57)</f>
        <v/>
      </c>
      <c r="AX57" s="274"/>
      <c r="AY57" s="350">
        <f>IF(L56="",10^30,SQRT(BA54)*(BA56^2)*(N(AN55)+N(AN57)+N(AO55)+N(AV55))/(100000*L56*M54))</f>
        <v>1E+30</v>
      </c>
      <c r="AZ57" s="351"/>
      <c r="BA57" s="335">
        <f>IF(AND(F56="",SUM(S54:S57)&lt;&gt;0),BA53,F56)</f>
        <v>0</v>
      </c>
      <c r="BB57" s="285">
        <f t="shared" si="0"/>
        <v>0</v>
      </c>
      <c r="BC57" s="72"/>
      <c r="BD57" s="72"/>
    </row>
    <row r="58" spans="1:56" ht="15" customHeight="1" x14ac:dyDescent="0.15">
      <c r="A58" s="367"/>
      <c r="B58" s="358"/>
      <c r="D58" s="647"/>
      <c r="E58" s="712"/>
      <c r="F58" s="653"/>
      <c r="G58" s="655" t="str">
        <f>IF(F58="","","φ")</f>
        <v/>
      </c>
      <c r="H58" s="657"/>
      <c r="I58" s="655" t="str">
        <f>IF(H58="","","W")</f>
        <v/>
      </c>
      <c r="J58" s="657"/>
      <c r="K58" s="671" t="str">
        <f>IF(J58="","","V")</f>
        <v/>
      </c>
      <c r="L58" s="673"/>
      <c r="M58" s="124"/>
      <c r="N58" s="675"/>
      <c r="O58" s="329"/>
      <c r="P58" s="330"/>
      <c r="Q58" s="331"/>
      <c r="R58" s="332"/>
      <c r="S58" s="277" t="str">
        <f>IF(R58="","",IF(Q58="",P58/R58,P58/(Q58*R58)))</f>
        <v/>
      </c>
      <c r="T58" s="359"/>
      <c r="U58" s="266" t="str">
        <f>IF(OR(BA60="",S58=""),"",S58*1000*T58/(SQRT(BA58)*BA60))</f>
        <v/>
      </c>
      <c r="V58" s="678" t="str">
        <f>IF(AND(N(U58)=0,N(U59)=0,N(U60)=0,N(U61)=0),"",BA60/(SUM(U58:U61)))</f>
        <v/>
      </c>
      <c r="W58" s="680"/>
      <c r="X58" s="682"/>
      <c r="Y58" s="683"/>
      <c r="Z58" s="684"/>
      <c r="AA58" s="704"/>
      <c r="AB58" s="706"/>
      <c r="AC58" s="683"/>
      <c r="AD58" s="684"/>
      <c r="AE58" s="708"/>
      <c r="AF58" s="125" t="str">
        <f>IF(OR(AND(AF54="",N(BA56)=0,BA60&lt;&gt;0),D58&lt;&gt;""),AX60/AQ59,"")</f>
        <v/>
      </c>
      <c r="AG58" s="710" t="str">
        <f>IF(BA60=0,"",IF(AD60="",AX58,IF(AND(D58&lt;&gt;"",AU58=""),AX60*SQRT(AP60^2+AP61^2)/SQRT(AS58^2+AS59^2)/AQ59,AX58*SQRT(AP60^2+AP61^2)/SQRT(AS58^2+AS59^2))))</f>
        <v/>
      </c>
      <c r="AH58" s="711"/>
      <c r="AI58" s="126" t="str">
        <f>IF(AG58="","",IF(N(U58)&lt;0,-AX58*AQ59/SQRT(AS58^2+AS59^2),AX58*AQ59/SQRT(AS58^2+AS59^2)))</f>
        <v/>
      </c>
      <c r="AJ58" s="733"/>
      <c r="AK58" s="660"/>
      <c r="AL58" s="369"/>
      <c r="AM58" s="72"/>
      <c r="AN58" s="105" t="b">
        <f>IF(BA58="","",IF(AND(VALUE(BA58)=1,L58="油入自冷"),VLOOKUP(L60,変１,F60-48,FALSE),IF(AND(VALUE(BA58)=1,L58="モールド絶縁"),VLOOKUP(L60,変１,F60-43,FALSE))))</f>
        <v>0</v>
      </c>
      <c r="AO58" s="105">
        <f>IF(ISNA(VLOOKUP(L60,変ＵＳＥＲ,2,FALSE)),0,VLOOKUP(L60,変ＵＳＥＲ,2,FALSE))</f>
        <v>0</v>
      </c>
      <c r="AP58" s="106">
        <f>IF(N58="",0,N58*1000/BA60^2/SQRT(BA58))</f>
        <v>0</v>
      </c>
      <c r="AQ58" s="105" t="b">
        <f>IF(VALUE(BA58)=1,2,IF(BA58=3,SQRT(3),FALSE))</f>
        <v>0</v>
      </c>
      <c r="AR58" s="107" t="str">
        <f>IF(X58="","",IF(X58="600V IV",VLOOKUP(X60,ＩＶ,2,FALSE),IF(X58="600V CV-T",VLOOKUP(X60,ＣＶＴ,2,FALSE),IF(OR(X58="600V CV-1C",X58="600V CV-2C",X58="600V CV-3C",X58="600V CV-4C"),VLOOKUP(X60,ＣＶ２３Ｃ,2,FALSE),VLOOKUP(X60,ＣＵＳＥＲ,2,FALSE)))))</f>
        <v/>
      </c>
      <c r="AS58" s="105" t="str">
        <f>IF(AB61="",AP60,AP60+(AB61/1000))</f>
        <v/>
      </c>
      <c r="AT58" s="108" t="str">
        <f>IF(AU60="",AT60,AU60)</f>
        <v/>
      </c>
      <c r="AU58" s="108" t="str">
        <f>IF(D58="","",IF(AND(D62="",D66&lt;&gt;"",AV61=AV69),AT66,IF(AND(D62="",D66="",D70&lt;&gt;"",AV65=AV73),AT70,IF(AND(D62="",D66="",D70="",D74&lt;&gt;"",AV69=AV77),AT74,IF(AND(D62="",D66="",D70="",D74="",D78&lt;&gt;"",AV73=AV81),AT78,IF(AND(D62="",D66="",D70="",D74="",D78="",D82&lt;&gt;"",AV77=AV85),AT82,IF(AND(D62="",D66="",D70="",D74="",D78="",D82="",D86&lt;&gt;"",AV81=AV89),AT86,"")))))))</f>
        <v/>
      </c>
      <c r="AV58" s="108" t="str">
        <f>IF(L58="発電機",IF(ISNA(VLOOKUP(L60,ＡＣＧ,2,FALSE)),0,VLOOKUP(L60,ＡＣＧ,2,FALSE)),"")</f>
        <v/>
      </c>
      <c r="AW58" s="109" t="str">
        <f>IF(AT58="","",AT58/((AT58*AP58)^2+(AT59*AP58-1)^2))</f>
        <v/>
      </c>
      <c r="AX58" s="110" t="str">
        <f>IF(BA60=0,"",IF(OR(AX54="",AF58&lt;&gt;""),AF58*SQRT(AS60^2+AS61^2)/SQRT(AT60^2+AT61^2),AX54*SQRT(AS60^2+AS61^2)/SQRT(AT60^2+AT61^2)))</f>
        <v/>
      </c>
      <c r="AY58" s="334">
        <f>IF(N(AY60)=10^30,10^30,IF(N(AY64)=10^30,(N(AY60)*(N(AY64)^2+N(AY65)^2)+N(AY64)*(N(AY60)^2+N(AY61)^2))/((N(AY60)+N(AY64))^2+(N(AY61)+N(AY65))^2),(N(AY60)*(N(AY62)^2+N(AY63)^2)+N(AY62)*(N(AY60)^2+N(AY61)^2))/((N(AY60)+N(AY62))^2+(N(AY61)+N(AY63))^2)))</f>
        <v>1E+30</v>
      </c>
      <c r="AZ58" s="72"/>
      <c r="BA58" s="335">
        <f>IF(AND(F58="",SUM(S58:S61)&lt;&gt;0),BA54,F58)</f>
        <v>0</v>
      </c>
      <c r="BB58" s="285">
        <f t="shared" si="0"/>
        <v>0</v>
      </c>
      <c r="BC58" s="72"/>
      <c r="BD58" s="72"/>
    </row>
    <row r="59" spans="1:56" ht="15" customHeight="1" x14ac:dyDescent="0.15">
      <c r="A59" s="367"/>
      <c r="B59" s="358"/>
      <c r="D59" s="648"/>
      <c r="E59" s="713"/>
      <c r="F59" s="654"/>
      <c r="G59" s="656"/>
      <c r="H59" s="658"/>
      <c r="I59" s="656"/>
      <c r="J59" s="658"/>
      <c r="K59" s="672"/>
      <c r="L59" s="674"/>
      <c r="M59" s="111" t="str">
        <f>IF(L58="発電機",SQRT(AV58^2+AV59^2),IF(L60="","",IF(OR(L58="油入自冷",L58="モ－ルド絶縁"),IF(BA58=1,SQRT(AN58^2+AN59^2),IF(BA58=3,SQRT(AN60^2+AN61^2))),SQRT(AO58^2+AO59^2))))</f>
        <v/>
      </c>
      <c r="N59" s="676"/>
      <c r="O59" s="336"/>
      <c r="P59" s="337"/>
      <c r="Q59" s="338"/>
      <c r="R59" s="339"/>
      <c r="S59" s="279" t="str">
        <f>IF(R60="","",IF(Q60="",P60/R60,P60/(Q60*R60)))</f>
        <v/>
      </c>
      <c r="T59" s="361"/>
      <c r="U59" s="268" t="str">
        <f>IF(OR(BA60="",S59=""),"",S59*1000*T59/(SQRT(BA58)*BA60))</f>
        <v/>
      </c>
      <c r="V59" s="679"/>
      <c r="W59" s="681"/>
      <c r="X59" s="685"/>
      <c r="Y59" s="686"/>
      <c r="Z59" s="687"/>
      <c r="AA59" s="705"/>
      <c r="AB59" s="707"/>
      <c r="AC59" s="686"/>
      <c r="AD59" s="687"/>
      <c r="AE59" s="709"/>
      <c r="AF59" s="113" t="str">
        <f>IF(OR(AF58="",AG54&lt;&gt;""),"",AF58*AQ59/SQRT(AT58^2+AT59^2))</f>
        <v/>
      </c>
      <c r="AG59" s="663" t="str">
        <f>IF(AG58="","",100*AG58*AQ59/BA60)</f>
        <v/>
      </c>
      <c r="AH59" s="664"/>
      <c r="AI59" s="665" t="str">
        <f>IF(BA60=0,"",IF(AI54="",AX60/SQRT(AT58^2+AT59^2),IF(AI62="","",IF(AT58&lt;0,-AX58*AQ55/SQRT(AT58^2+AT59^2),AX58*AQ55/SQRT(AT58^2+AT59^2)))))</f>
        <v/>
      </c>
      <c r="AJ59" s="661"/>
      <c r="AK59" s="662"/>
      <c r="AL59" s="281"/>
      <c r="AM59" s="72"/>
      <c r="AN59" s="105" t="b">
        <f>IF(BA58="","",IF(AND(VALUE(BA58)=1,L58="油入自冷"),VLOOKUP(L60,変１,F60-47,FALSE),IF(AND(VALUE(BA58)=1,L58="モールド絶縁"),VLOOKUP(L60,変１,F60-42,FALSE))))</f>
        <v>0</v>
      </c>
      <c r="AO59" s="105">
        <f>IF(ISNA(VLOOKUP(L60,変ＵＳＥＲ,3,FALSE)),0,VLOOKUP(L60,変ＵＳＥＲ,3,FALSE)*BA61/50)</f>
        <v>0</v>
      </c>
      <c r="AP59" s="106">
        <f>IF(W58="",0,W58*1000/BA60^2/SQRT(BA58))</f>
        <v>0</v>
      </c>
      <c r="AQ59" s="105">
        <f>IF(AND(VALUE(BA58)=1,VALUE(BA59)=2),1,IF(AND(VALUE(BA58)=3,VALUE(BA59)=3),1,IF(AND(VALUE(BA58)=1,VALUE(BA59)=3),2,IF(AND(VALUE(BA58)=3,VALUE(BA59)=4)*OR(VALUE(BB58)=1,VALUE(BB59)=1,VALUE(BB60)=1,VALUE(BB61)=1),1,SQRT(3)))))</f>
        <v>1.7320508075688772</v>
      </c>
      <c r="AR59" s="107" t="str">
        <f>IF(X58="","",IF(X58="600V IV",VLOOKUP(X60,ＩＶ,3,FALSE),IF(X58="600V CV-T",VLOOKUP(X60,ＣＶＴ,3,FALSE),IF(OR(X58="600V CV-1C",X58="600V CV-2C",X58="600V CV-3C",X58="600V CV-4C"),VLOOKUP(X60,ＣＶ２３Ｃ,3,FALSE),VLOOKUP(X60,ＣＵＳＥＲ,3,FALSE)))))</f>
        <v/>
      </c>
      <c r="AS59" s="105" t="str">
        <f>IF(AD61="",AP61,AP61+(AD61/1000))</f>
        <v/>
      </c>
      <c r="AT59" s="108" t="str">
        <f>IF(AU61="",AT61,AU61)</f>
        <v/>
      </c>
      <c r="AU59" s="108" t="str">
        <f>IF(D58="","",IF(AND(D62="",D66&lt;&gt;"",AV61=AV69),AT67,IF(AND(D62="",D66="",D70&lt;&gt;"",AV65=AV73),AT71,IF(AND(D62="",D66="",D70="",D74&lt;&gt;"",AV69=AV77),AT75,IF(AND(D62="",D66="",D70="",D74="",D78&lt;&gt;"",AV73=AV81),AT79,IF(AND(D62="",D66="",D70="",D74="",D78="",D82&lt;&gt;"",AV77=AV85),AT83,IF(AND(D62="",D66="",D70="",D74="",D78="",D82="",D86&lt;&gt;"",AV81=AV89),AT87,"")))))))</f>
        <v/>
      </c>
      <c r="AV59" s="107" t="str">
        <f>IF(L58="発電機",IF(ISNA(VLOOKUP(L60,ＡＣＧ,3,FALSE)),0,VLOOKUP(L60,ＡＣＧ,3,FALSE)*BA61/50),"")</f>
        <v/>
      </c>
      <c r="AW59" s="109" t="str">
        <f>IF(AT59="","",(AT59-AP58*(AT58^2+AT59^2))/((AT58*AP58)^2+(AP58*AT59-1)^2))</f>
        <v/>
      </c>
      <c r="AX59" s="110"/>
      <c r="AY59" s="334">
        <f>IF(N(AY61)=10^30,10^30,IF(N(AY65)=10^30,(N(AY61)*(N(AY64)^2+N(AY65)^2)+N(AY65)*(N(AY60)^2+N(AY61)^2))/((N(AY60)+N(AY64))^2+(N(AY61)+N(AY65))^2),(N(AY61)*(N(AY62)^2+N(AY63)^2)+N(AY63)*(N(AY60)^2+N(AY61)^2))/((N(AY60)+N(AY62))^2+(N(AY61)+N(AY63))^2)))</f>
        <v>1E+30</v>
      </c>
      <c r="AZ59" s="72"/>
      <c r="BA59" s="335">
        <f>IF(AND(H58="",SUM(S58:S61)&lt;&gt;0),BA55,H58)</f>
        <v>0</v>
      </c>
      <c r="BB59" s="285">
        <f t="shared" si="0"/>
        <v>0</v>
      </c>
      <c r="BC59" s="72"/>
      <c r="BD59" s="72"/>
    </row>
    <row r="60" spans="1:56" ht="15" customHeight="1" x14ac:dyDescent="0.15">
      <c r="A60" s="367"/>
      <c r="B60" s="367"/>
      <c r="D60" s="648"/>
      <c r="E60" s="713"/>
      <c r="F60" s="688"/>
      <c r="G60" s="688"/>
      <c r="H60" s="688"/>
      <c r="I60" s="688"/>
      <c r="J60" s="688"/>
      <c r="K60" s="689"/>
      <c r="L60" s="690"/>
      <c r="M60" s="691"/>
      <c r="N60" s="676"/>
      <c r="O60" s="336"/>
      <c r="P60" s="341"/>
      <c r="Q60" s="342"/>
      <c r="R60" s="339"/>
      <c r="S60" s="279" t="str">
        <f>IF(R61="","",IF(Q61="",P61/R61,P61/(Q61*R61)))</f>
        <v/>
      </c>
      <c r="T60" s="361"/>
      <c r="U60" s="114" t="str">
        <f>IF(OR(BA60="",S60=""),"",S60*1000*T60/(SQRT(BA58)*BA60))</f>
        <v/>
      </c>
      <c r="V60" s="115" t="str">
        <f>IF(AND(N(U58)=0,N(U59)=0,N(U60)=0,N(U61)=0),"",V58*(P58*R58*T58+P59*R59*T59+P60*R60*T60+P61*R61*T61)/(P58*T58+P59*T59+P60*T60+P61*T61))</f>
        <v/>
      </c>
      <c r="W60" s="692" t="str">
        <f>IF(AND(N(AP60)=0,N(AP61)=0,N(AP59)=0),"",IF(AP61&gt;=0,COS(ATAN(AP61/AP60)),-COS(ATAN(AP61/AP60))))</f>
        <v/>
      </c>
      <c r="X60" s="343"/>
      <c r="Y60" s="344"/>
      <c r="Z60" s="345"/>
      <c r="AA60" s="346"/>
      <c r="AB60" s="347"/>
      <c r="AC60" s="344"/>
      <c r="AD60" s="345"/>
      <c r="AE60" s="348"/>
      <c r="AF60" s="116" t="str">
        <f>IF(OR(AF58="",AG54&lt;&gt;""),"",BA60/SQRT(AW60^2+AW61^2))</f>
        <v/>
      </c>
      <c r="AG60" s="663" t="str">
        <f>IF(AG58="","",100*((BA60/AQ59)-AG58)/(BA60/AQ59))</f>
        <v/>
      </c>
      <c r="AH60" s="664"/>
      <c r="AI60" s="666"/>
      <c r="AJ60" s="667"/>
      <c r="AK60" s="669"/>
      <c r="AL60" s="371"/>
      <c r="AM60" s="72"/>
      <c r="AN60" s="117" t="b">
        <f>IF(BA58="","",IF(AND(VALUE(BA58)=3,L58="油入自冷"),VLOOKUP(L60,変３,F60-48,FALSE),IF(AND(VALUE(BA58)=3,L58="モールド絶縁"),VLOOKUP(L60,変３,F60-43,FALSE))))</f>
        <v>0</v>
      </c>
      <c r="AO60" s="107" t="str">
        <f>IF(AND(L54="",N(AY58)&lt;10^29),AY58,"")</f>
        <v/>
      </c>
      <c r="AP60" s="118" t="str">
        <f>IF(V58="","",IF(AND(N(V60)=0,N(AP59)=0),"",AQ60/((AQ60*AP59)^2+(AP59*AQ61-1)^2)))</f>
        <v/>
      </c>
      <c r="AQ60" s="105">
        <f>IF(N(V60)=0,10^30,V60)</f>
        <v>1E+30</v>
      </c>
      <c r="AR60" s="107" t="str">
        <f>IF(AB58="","",IF(AB58="600V IV",VLOOKUP(AB60,ＩＶ,2,FALSE),IF(AB58="600V CV-T",VLOOKUP(AB60,ＣＶＴ,2,FALSE),IF(OR(AB58="600V CV-1C",AB58="600V CV-2C",AB58="600V CV-3C",AB58="600V CV-4C"),VLOOKUP(AB60,ＣＶ２３Ｃ,2,FALSE),VLOOKUP(AB60,ＣＵＳＥＲ,2,FALSE)))))</f>
        <v/>
      </c>
      <c r="AS60" s="105" t="str">
        <f>IF(OR(AND(AS62="",AS63=""),AND(D58="",D62&lt;&gt;"")),AS58,(AS58*(AT62^2+AT63^2)+AT62*(AS58^2+AS59^2))/((AS58+AT62)^2+(AS59+AT63)^2))</f>
        <v/>
      </c>
      <c r="AT60" s="108" t="str">
        <f>IF(X61="",AS60,N(AS60)+(X61/1000))</f>
        <v/>
      </c>
      <c r="AU60" s="108" t="str">
        <f>IF(AU58="","",(AT60*(AU58^2+AU59^2)+AU58*(AT60^2+AT61^2))/((AT60+AU58)^2+(AT61+AU59)^2))</f>
        <v/>
      </c>
      <c r="AV60" s="108">
        <f>IF(BA60=0,1,0)</f>
        <v>1</v>
      </c>
      <c r="AW60" s="109" t="str">
        <f>IF(AO60="","",AW58+AO60)</f>
        <v/>
      </c>
      <c r="AX60" s="110" t="str">
        <f>IF(AND(AX56="",AW60&lt;&gt;""),BA60*SQRT(AW58^2+AW59^2)/SQRT(AW60^2+AW61^2),IF(BA60&lt;&gt;0,AX56,""))</f>
        <v/>
      </c>
      <c r="AY60" s="350">
        <f>IF(L60="",10^30,SQRT(BA58)*(BA60^2)*(N(AN58)+N(AN60)+N(AO58)+N(AV58))/(100000*L60*M58))</f>
        <v>1E+30</v>
      </c>
      <c r="AZ60" s="351"/>
      <c r="BA60" s="335">
        <f>IF(AND(J58="",SUM(S58:S61)&lt;&gt;0),BA56,J58)</f>
        <v>0</v>
      </c>
      <c r="BB60" s="285">
        <f t="shared" si="0"/>
        <v>0</v>
      </c>
      <c r="BC60" s="72"/>
      <c r="BD60" s="72"/>
    </row>
    <row r="61" spans="1:56" ht="15" customHeight="1" x14ac:dyDescent="0.15">
      <c r="A61" s="367"/>
      <c r="B61" s="367"/>
      <c r="D61" s="649"/>
      <c r="E61" s="714"/>
      <c r="F61" s="694"/>
      <c r="G61" s="694"/>
      <c r="H61" s="694"/>
      <c r="I61" s="694"/>
      <c r="J61" s="694"/>
      <c r="K61" s="695"/>
      <c r="L61" s="696" t="str">
        <f>IF(M58="","",L60*1000*M58/(SQRT(BA58)*BA60))</f>
        <v/>
      </c>
      <c r="M61" s="697"/>
      <c r="N61" s="677"/>
      <c r="O61" s="352"/>
      <c r="P61" s="353"/>
      <c r="Q61" s="354"/>
      <c r="R61" s="355"/>
      <c r="S61" s="119" t="str">
        <f>IF(R61="","",IF(Q61="",P61/R61,P61/(Q61*R61)))</f>
        <v/>
      </c>
      <c r="T61" s="362"/>
      <c r="U61" s="120" t="str">
        <f>IF(OR(BA60="",S61=""),"",S61*1000*T61/(SQRT(BA58)*BA60))</f>
        <v/>
      </c>
      <c r="V61" s="121" t="str">
        <f>IF(AND(N(U58)=0,N(U59)=0,N(U60)=0,N(U61)=0),"",IF(V58&gt;=0,SQRT(ABS(V58^2-V60^2)),-SQRT(V58^2-V60^2)))</f>
        <v/>
      </c>
      <c r="W61" s="693"/>
      <c r="X61" s="698" t="str">
        <f>IF(Y60="","",AQ58*Z60*AR58*((1+0.00393*(F61-20))/1.2751)/Y60)</f>
        <v/>
      </c>
      <c r="Y61" s="699"/>
      <c r="Z61" s="700" t="str">
        <f>IF(Y60="","",(BA61/50)*AQ58*Z60*AR59/Y60)</f>
        <v/>
      </c>
      <c r="AA61" s="701"/>
      <c r="AB61" s="702" t="str">
        <f>IF(AC60="","",AQ58*AD60*AR60*((1+0.00393*(F61-20))/1.2751)/AC60)</f>
        <v/>
      </c>
      <c r="AC61" s="699"/>
      <c r="AD61" s="700" t="str">
        <f>IF(AC60="","",(BA61/50)*AQ58*AD60*AR61/AC60)</f>
        <v/>
      </c>
      <c r="AE61" s="703"/>
      <c r="AF61" s="122" t="str">
        <f>IF(AND(AX58&lt;&gt;"",D58=""),AX58,"")</f>
        <v/>
      </c>
      <c r="AG61" s="698" t="str">
        <f>IF(AP60="","",AP60)</f>
        <v/>
      </c>
      <c r="AH61" s="699"/>
      <c r="AI61" s="123" t="str">
        <f>IF(AP61="","",AP61)</f>
        <v/>
      </c>
      <c r="AJ61" s="668"/>
      <c r="AK61" s="670"/>
      <c r="AL61" s="357"/>
      <c r="AM61" s="72"/>
      <c r="AN61" s="270" t="b">
        <f>IF(BA58="","",IF(AND(VALUE(BA58)=3,L58="油入自冷"),VLOOKUP(L60,変３,F60-47,FALSE),IF(AND(VALUE(BA58)=3,L58="モールド絶縁"),VLOOKUP(L60,変３,F60-42,FALSE))))</f>
        <v>0</v>
      </c>
      <c r="AO61" s="270" t="str">
        <f>IF(AND(L54="",N(AY59)&lt;10^29),AY59,"")</f>
        <v/>
      </c>
      <c r="AP61" s="271" t="str">
        <f>IF(V58="","",IF(AND(N(V61)=0,N(AP59)=0),0,(AQ61-AP59*(AQ60^2+AQ61^2))/((AQ60*AP59)^2+(AP59*AQ61-1)^2)))</f>
        <v/>
      </c>
      <c r="AQ61" s="272">
        <f>IF(N(V61)=0,10^30,V61)</f>
        <v>1E+30</v>
      </c>
      <c r="AR61" s="270" t="str">
        <f>IF(AB58="","",IF(AB58="600V IV",VLOOKUP(AB60,ＩＶ,3,FALSE),IF(AB58="600V CV-T",VLOOKUP(AB60,ＣＶＴ,3,FALSE),IF(OR(AB58="600V CV-1C",AB58="600V CV-2C",AB58="600V CV-3C",AB58="600V CV-4C"),VLOOKUP(AB60,ＣＶ２３Ｃ,3,FALSE),VLOOKUP(AB60,ＣＵＳＥＲ,3,FALSE)))))</f>
        <v/>
      </c>
      <c r="AS61" s="272" t="str">
        <f>IF(OR(AND(AS62="",AS63=""),AND(D58="",D62&lt;&gt;"")),AS59,(AS59*(AT62^2+AT63^2)+AT63*(AS58^2+AS59^2))/((AS58+AT62)^2+(AS59+AT63)^2))</f>
        <v/>
      </c>
      <c r="AT61" s="273" t="str">
        <f>IF(Z61="",AS61,N(AS61)+(Z61/1000))</f>
        <v/>
      </c>
      <c r="AU61" s="273" t="str">
        <f>IF(AU59="","",(AT61*(AU58^2+AU59^2)+AU59*(AT60^2+AT61^2))/((AT60+AU58)^2+(AT61+AU59)^2))</f>
        <v/>
      </c>
      <c r="AV61" s="273">
        <f>AV57+AV60</f>
        <v>10</v>
      </c>
      <c r="AW61" s="272" t="str">
        <f>IF(AO61="","",AW59+AO61)</f>
        <v/>
      </c>
      <c r="AX61" s="274"/>
      <c r="AY61" s="350">
        <f>IF(L60="",10^30,SQRT(BA58)*(BA60^2)*(N(AN59)+N(AN61)+N(AO59)+N(AV59))/(100000*L60*M58))</f>
        <v>1E+30</v>
      </c>
      <c r="AZ61" s="351"/>
      <c r="BA61" s="335">
        <f>IF(AND(F60="",SUM(S58:S61)&lt;&gt;0),BA57,F60)</f>
        <v>0</v>
      </c>
      <c r="BB61" s="285">
        <f t="shared" si="0"/>
        <v>0</v>
      </c>
      <c r="BC61" s="72"/>
      <c r="BD61" s="72"/>
    </row>
    <row r="62" spans="1:56" ht="18.75" hidden="1" customHeight="1" x14ac:dyDescent="0.15">
      <c r="A62" s="367"/>
      <c r="B62" s="367"/>
      <c r="D62" s="647"/>
      <c r="E62" s="650"/>
      <c r="F62" s="653"/>
      <c r="G62" s="655" t="str">
        <f>IF(F62="","","φ")</f>
        <v/>
      </c>
      <c r="H62" s="657"/>
      <c r="I62" s="655" t="str">
        <f>IF(H62="","","W")</f>
        <v/>
      </c>
      <c r="J62" s="657"/>
      <c r="K62" s="671" t="str">
        <f>IF(J62="","","V")</f>
        <v/>
      </c>
      <c r="L62" s="673"/>
      <c r="M62" s="124"/>
      <c r="N62" s="675"/>
      <c r="O62" s="329"/>
      <c r="P62" s="330"/>
      <c r="Q62" s="331"/>
      <c r="R62" s="332"/>
      <c r="S62" s="265" t="str">
        <f>IF(R62="","",IF(Q62="",P62/R62,P62/(Q62*R62)))</f>
        <v/>
      </c>
      <c r="T62" s="333"/>
      <c r="U62" s="266" t="str">
        <f>IF(OR(BA64="",S62=""),"",S62*1000*T62/(SQRT(BA62)*BA64))</f>
        <v/>
      </c>
      <c r="V62" s="678" t="str">
        <f>IF(AND(N(U62)=0,N(U63)=0,N(U64)=0,N(U65)=0),"",BA64/(SUM(U62:U65)))</f>
        <v/>
      </c>
      <c r="W62" s="680"/>
      <c r="X62" s="682"/>
      <c r="Y62" s="683"/>
      <c r="Z62" s="684"/>
      <c r="AA62" s="704"/>
      <c r="AB62" s="706"/>
      <c r="AC62" s="683"/>
      <c r="AD62" s="684"/>
      <c r="AE62" s="708"/>
      <c r="AF62" s="125" t="str">
        <f>IF(OR(AND(AF58="",N(BA60)=0,BA64&lt;&gt;0),D62&lt;&gt;""),AX64/AQ63,"")</f>
        <v/>
      </c>
      <c r="AG62" s="710" t="str">
        <f>IF(BA64=0,"",IF(AD64="",AX62,IF(AND(D62&lt;&gt;"",AU62=""),AX64*SQRT(AP64^2+AP65^2)/SQRT(AS62^2+AS63^2)/AQ63,AX62*SQRT(AP64^2+AP65^2)/SQRT(AS62^2+AS63^2))))</f>
        <v/>
      </c>
      <c r="AH62" s="711"/>
      <c r="AI62" s="126" t="str">
        <f>IF(AG62="","",AX62*AQ63/SQRT(AS62^2+AS63^2))</f>
        <v/>
      </c>
      <c r="AJ62" s="659"/>
      <c r="AK62" s="660"/>
      <c r="AL62" s="267"/>
      <c r="AM62" s="72"/>
      <c r="AN62" s="105" t="b">
        <f>IF(BA62="","",IF(AND(BA62=1,F64=50,L62="油入自冷"),VLOOKUP(L64,変１,2,FALSE),IF(AND(BA62=1,F64=50,L62="モ－ルド絶縁"),VLOOKUP(L64,変１,7,FALSE),IF(AND(BA62=1,F64=60,L62="油入自冷"),VLOOKUP(L64,変１,12,FALSE),IF(AND(BA62=1,F64=60,L62="モ－ルド絶縁"),VLOOKUP(L64,変１,17,FALSE),FALSE)))))</f>
        <v>0</v>
      </c>
      <c r="AO62" s="105">
        <f>IF(ISNA(VLOOKUP(L64,変ＵＳＥＲ,2,FALSE)),0,VLOOKUP(L64,変ＵＳＥＲ,2,FALSE))</f>
        <v>0</v>
      </c>
      <c r="AP62" s="106">
        <f>IF(N62="",0,N62*1000/BA64^2/SQRT(BA62))</f>
        <v>0</v>
      </c>
      <c r="AQ62" s="105" t="b">
        <f>IF(BA62=1,2,IF(BA62=3,SQRT(3),FALSE))</f>
        <v>0</v>
      </c>
      <c r="AR62" s="107" t="str">
        <f>IF(X62="","",IF(X62="600V IV",VLOOKUP(X64,ＩＶ,2,FALSE),IF(X62="600V CV-T",VLOOKUP(X64,ＣＶＴ,2,FALSE),IF(OR(X62="600V CV-1C",X62="600V CV-2C",X62="600V CV-3C",X62="600V CV-4C"),VLOOKUP(X64,ＣＶ２３Ｃ,2,FALSE),VLOOKUP(X64,ＣＵＳＥＲ,2,FALSE)))))</f>
        <v/>
      </c>
      <c r="AS62" s="105" t="str">
        <f>IF(AB65="",AP64,AP64+(AB65/1000))</f>
        <v/>
      </c>
      <c r="AT62" s="108" t="str">
        <f>IF(AU64="",AT64,AU64)</f>
        <v/>
      </c>
      <c r="AU62" s="108" t="str">
        <f>IF(D62="","",IF(AND(D66="",D70&lt;&gt;"",AV65=AV73),AT70,IF(AND(D66="",D70="",D74&lt;&gt;"",AV69=AV77),AT74,IF(AND(D66="",D70="",D74="",D78&lt;&gt;"",AV73=AV81),AT78,IF(AND(D66="",D70="",D74="",D78="",D82&lt;&gt;"",AV77=AV85),AT82,IF(AND(D66="",D70="",D74="",D78="",D82="",D86&lt;&gt;"",AV81=AV89),AT86,IF(AND(D66="",D70="",D74="",D78="",D82="",D86="",D90&lt;&gt;"",AV85=AV93),AT90,"")))))))</f>
        <v/>
      </c>
      <c r="AV62" s="108" t="str">
        <f>IF(L62="発電機",IF(ISNA(VLOOKUP(L64,ＡＣＧ,2,FALSE)),0,VLOOKUP(L64,ＡＣＧ,2,FALSE)),"")</f>
        <v/>
      </c>
      <c r="AW62" s="109" t="str">
        <f>IF(AT62="","",AT62/((AT62*AP62)^2+(AT63*AP62-1)^2))</f>
        <v/>
      </c>
      <c r="AX62" s="110" t="str">
        <f>IF(BA64=0,"",IF(OR(AX58="",AF62&lt;&gt;""),AF62*SQRT(AS64^2+AS65^2)/SQRT(AT64^2+AT65^2),AX58*SQRT(AS64^2+AS65^2)/SQRT(AT64^2+AT65^2)))</f>
        <v/>
      </c>
      <c r="AY62" s="334">
        <f>IF(N(AY64)=10^30,10^30,IF(N(AY68)=10^30,(N(AY64)*(N(AY68)^2+N(AY69)^2)+N(AY68)*(N(AY64)^2+N(AY65)^2))/((N(AY64)+N(AY68))^2+(N(AY65)+N(AY69))^2),(N(AY64)*(N(AY66)^2+N(AY67)^2)+N(AY66)*(N(AY64)^2+N(AY65)^2))/((N(AY64)+N(AY66))^2+(N(AY65)+N(AY67))^2)))</f>
        <v>1E+30</v>
      </c>
      <c r="AZ62" s="72"/>
      <c r="BA62" s="335">
        <f>IF(AND(F62="",SUM(S62:S65)&lt;&gt;0),BA58,F62)</f>
        <v>0</v>
      </c>
      <c r="BB62" s="285">
        <f t="shared" si="0"/>
        <v>0</v>
      </c>
      <c r="BC62" s="72"/>
      <c r="BD62" s="72"/>
    </row>
    <row r="63" spans="1:56" ht="19.5" hidden="1" customHeight="1" x14ac:dyDescent="0.15">
      <c r="A63" s="367"/>
      <c r="B63" s="367"/>
      <c r="D63" s="648"/>
      <c r="E63" s="651"/>
      <c r="F63" s="654"/>
      <c r="G63" s="656"/>
      <c r="H63" s="658"/>
      <c r="I63" s="656"/>
      <c r="J63" s="658"/>
      <c r="K63" s="672"/>
      <c r="L63" s="674"/>
      <c r="M63" s="111" t="str">
        <f>IF(L62="発電機",SQRT(AV62^2+AV63^2),IF(L64="","",IF(OR(L62="油入自冷",L62="モ－ルド絶縁"),IF(BA62=1,SQRT(AN62^2+AN63^2),IF(BA62=3,SQRT(AN64^2+AN65^2))),SQRT(AO62^2+AO63^2))))</f>
        <v/>
      </c>
      <c r="N63" s="676"/>
      <c r="O63" s="336"/>
      <c r="P63" s="337"/>
      <c r="Q63" s="338"/>
      <c r="R63" s="339"/>
      <c r="S63" s="112" t="str">
        <f>IF(R64="","",IF(Q64="",P64/R64,P64/(Q64*R64)))</f>
        <v/>
      </c>
      <c r="T63" s="340"/>
      <c r="U63" s="268" t="str">
        <f>IF(OR(BA64="",S63=""),"",S63*1000*T63/(SQRT(BA62)*BA64))</f>
        <v/>
      </c>
      <c r="V63" s="679"/>
      <c r="W63" s="681"/>
      <c r="X63" s="685"/>
      <c r="Y63" s="686"/>
      <c r="Z63" s="687"/>
      <c r="AA63" s="705"/>
      <c r="AB63" s="707"/>
      <c r="AC63" s="686"/>
      <c r="AD63" s="687"/>
      <c r="AE63" s="709"/>
      <c r="AF63" s="113" t="str">
        <f>IF(OR(AF62="",AG58&lt;&gt;""),"",AF62*AQ63/SQRT(AT62^2+AT63^2))</f>
        <v/>
      </c>
      <c r="AG63" s="663" t="str">
        <f>IF(AG62="","",100*AG62*AQ63/BA64)</f>
        <v/>
      </c>
      <c r="AH63" s="664"/>
      <c r="AI63" s="665" t="str">
        <f>IF(BA64=0,"",IF(AI58="",AX64/SQRT(AT62^2+AT63^2),IF(AI66="","",AX62*AQ59/SQRT(AT62^2+AT63^2))))</f>
        <v/>
      </c>
      <c r="AJ63" s="661"/>
      <c r="AK63" s="662"/>
      <c r="AL63" s="269"/>
      <c r="AM63" s="72"/>
      <c r="AN63" s="105" t="b">
        <f>IF(BA62="","",IF(AND(BA62=1,F64=50,L62="油入自冷"),VLOOKUP(L64,変１,3,FALSE),IF(AND(BA62=1,F64=50,L62="モ－ルド絶縁"),VLOOKUP(L64,変１,8,FALSE),IF(AND(BA62=1,F64=60,L62="油入自冷"),VLOOKUP(L64,変１,13,FALSE),IF(AND(BA62=1,F64=60,L62="モ－ルド絶縁"),VLOOKUP(L64,変１,18,FALSE),FALSE)))))</f>
        <v>0</v>
      </c>
      <c r="AO63" s="105">
        <f>IF(ISNA(VLOOKUP(L64,変ＵＳＥＲ,3,FALSE)),0,VLOOKUP(L64,変ＵＳＥＲ,3,FALSE)*BA65/50)</f>
        <v>0</v>
      </c>
      <c r="AP63" s="106">
        <f>IF(W62="",0,W62*1000/BA64^2/SQRT(BA62))</f>
        <v>0</v>
      </c>
      <c r="AQ63" s="105">
        <f>IF(AND(BA62=1,BA63=2),1,IF(AND(BA62=3,BA63=3),1,IF(AND(BA62=1,BA63=3),2,IF(AND(BA62=3,BA63=4)*OR(BB62=1,BB63=1,BB64=1,BB65=1),1,SQRT(3)))))</f>
        <v>1.7320508075688772</v>
      </c>
      <c r="AR63" s="107" t="str">
        <f>IF(X62="","",IF(X62="600V IV",VLOOKUP(X64,ＩＶ,3,FALSE),IF(X62="600V CV-T",VLOOKUP(X64,ＣＶＴ,3,FALSE),IF(OR(X62="600V CV-1C",X62="600V CV-2C",X62="600V CV-3C",X62="600V CV-4C"),VLOOKUP(X64,ＣＶ２３Ｃ,3,FALSE),VLOOKUP(X64,ＣＵＳＥＲ,3,FALSE)))))</f>
        <v/>
      </c>
      <c r="AS63" s="105" t="str">
        <f>IF(AD65="",AP65,AP65+(AD65/1000))</f>
        <v/>
      </c>
      <c r="AT63" s="108" t="str">
        <f>IF(AU65="",AT65,AU65)</f>
        <v/>
      </c>
      <c r="AU63" s="108" t="str">
        <f>IF(D62="","",IF(AND(D66="",D70&lt;&gt;"",AV65=AV73),AT71,IF(AND(D66="",D70="",D74&lt;&gt;"",AV69=AV77),AT75,IF(AND(D66="",D70="",D74="",D78&lt;&gt;"",AV73=AV81),AT79,IF(AND(D66="",D70="",D74="",D78="",D82&lt;&gt;"",AV77=AV85),AT83,IF(AND(D66="",D70="",D74="",D78="",D82="",D86&lt;&gt;"",AV81=AV89),AT87,IF(AND(D66="",D70="",D74="",D78="",D82="",D86="",D90&lt;&gt;"",AV85=AV93),AT91,"")))))))</f>
        <v/>
      </c>
      <c r="AV63" s="107" t="str">
        <f>IF(L62="発電機",IF(ISNA(VLOOKUP(L64,ＡＣＧ,3,FALSE)),0,VLOOKUP(L64,ＡＣＧ,3,FALSE)*BA65/50),"")</f>
        <v/>
      </c>
      <c r="AW63" s="109" t="str">
        <f>IF(AT63="","",(AT63-AP62*(AT62^2+AT63^2))/((AT62*AP62)^2+(AP62*AT63-1)^2))</f>
        <v/>
      </c>
      <c r="AX63" s="110"/>
      <c r="AY63" s="334">
        <f>IF(N(AY65)=10^30,10^30,IF(N(AY69)=10^30,(N(AY65)*(N(AY68)^2+N(AY69)^2)+N(AY69)*(N(AY64)^2+N(AY65)^2))/((N(AY64)+N(AY68))^2+(N(AY65)+N(AY69))^2),(N(AY65)*(N(AY66)^2+N(AY67)^2)+N(AY67)*(N(AY64)^2+N(AY65)^2))/((N(AY64)+N(AY66))^2+(N(AY65)+N(AY67))^2)))</f>
        <v>1E+30</v>
      </c>
      <c r="AZ63" s="72"/>
      <c r="BA63" s="335">
        <f>IF(AND(H62="",SUM(S62:S65)&lt;&gt;0),BA59,H62)</f>
        <v>0</v>
      </c>
      <c r="BB63" s="285">
        <f t="shared" si="0"/>
        <v>0</v>
      </c>
      <c r="BC63" s="72"/>
      <c r="BD63" s="72"/>
    </row>
    <row r="64" spans="1:56" ht="20.25" hidden="1" customHeight="1" x14ac:dyDescent="0.15">
      <c r="A64" s="367"/>
      <c r="B64" s="367"/>
      <c r="D64" s="648"/>
      <c r="E64" s="651"/>
      <c r="F64" s="688"/>
      <c r="G64" s="688"/>
      <c r="H64" s="688"/>
      <c r="I64" s="688"/>
      <c r="J64" s="688"/>
      <c r="K64" s="689"/>
      <c r="L64" s="690"/>
      <c r="M64" s="691"/>
      <c r="N64" s="676"/>
      <c r="O64" s="336"/>
      <c r="P64" s="341"/>
      <c r="Q64" s="342"/>
      <c r="R64" s="339"/>
      <c r="S64" s="112" t="str">
        <f>IF(R65="","",IF(Q65="",P65/R65,P65/(Q65*R65)))</f>
        <v/>
      </c>
      <c r="T64" s="340"/>
      <c r="U64" s="114" t="str">
        <f>IF(OR(BA64="",S64=""),"",S64*1000*T64/(SQRT(BA62)*BA64))</f>
        <v/>
      </c>
      <c r="V64" s="115" t="str">
        <f>IF(AND(N(U62)=0,N(U63)=0,N(U64)=0,N(U65)=0),"",V62*(P62*R62*T62+P63*R63*T63+P64*R64*T64+P65*R65*T65)/(P62*T62+P63*T63+P64*T64+P65*T65))</f>
        <v/>
      </c>
      <c r="W64" s="692" t="str">
        <f>IF(AND(N(AP64)=0,N(AP65)=0,N(AP63)=0),"",IF(AP65&gt;=0,COS(ATAN(AP65/AP64)),-COS(ATAN(AP65/AP64))))</f>
        <v/>
      </c>
      <c r="X64" s="343"/>
      <c r="Y64" s="344"/>
      <c r="Z64" s="345"/>
      <c r="AA64" s="346"/>
      <c r="AB64" s="347"/>
      <c r="AC64" s="344"/>
      <c r="AD64" s="345"/>
      <c r="AE64" s="348"/>
      <c r="AF64" s="116" t="str">
        <f>IF(OR(AF62="",AG58&lt;&gt;""),"",BA64/SQRT(AW64^2+AW65^2))</f>
        <v/>
      </c>
      <c r="AG64" s="663" t="str">
        <f>IF(AG62="","",100*((BA64/AQ63)-AG62)/(BA64/AQ63))</f>
        <v/>
      </c>
      <c r="AH64" s="664"/>
      <c r="AI64" s="666"/>
      <c r="AJ64" s="667"/>
      <c r="AK64" s="669"/>
      <c r="AL64" s="349"/>
      <c r="AM64" s="72"/>
      <c r="AN64" s="117" t="b">
        <f>IF(BA62="","",IF(AND(BA62=3,F64=50,L62="油入自冷"),VLOOKUP(L64,変３,2,FALSE),IF(AND(BA62=3,F64=50,L62="モ－ルド絶縁"),VLOOKUP(L64,変３,7,FALSE),IF(AND(BA62=3,F64=60,L62="油入自冷"),VLOOKUP(L64,変３,12,FALSE),IF(AND(BA62=3,F64=60,L62="モ－ルド絶縁"),VLOOKUP(L64,変３,17,FALSE),FALSE)))))</f>
        <v>0</v>
      </c>
      <c r="AO64" s="107" t="str">
        <f>IF(AND(L58="",N(AY62)&lt;10^29),AY62,"")</f>
        <v/>
      </c>
      <c r="AP64" s="118" t="str">
        <f>IF(V62="","",IF(AND(N(V64)=0,N(AP63)=0),"",AQ64/((AQ64*AP63)^2+(AP63*AQ65-1)^2)))</f>
        <v/>
      </c>
      <c r="AQ64" s="105">
        <f>IF(N(V64)=0,10^30,V64)</f>
        <v>1E+30</v>
      </c>
      <c r="AR64" s="107" t="str">
        <f>IF(AB62="","",IF(AB62="600V IV",VLOOKUP(AB64,ＩＶ,2,FALSE),IF(AB62="600V CV-T",VLOOKUP(AB64,ＣＶＴ,2,FALSE),IF(OR(AB62="600V CV-1C",AB62="600V CV-2C",AB62="600V CV-3C",AB62="600V CV-4C"),VLOOKUP(AB64,ＣＶ２３Ｃ,2,FALSE),VLOOKUP(AB64,ＣＵＳＥＲ,2,FALSE)))))</f>
        <v/>
      </c>
      <c r="AS64" s="105" t="str">
        <f>IF(OR(AND(AS66="",AS67=""),AND(D62="",D66&lt;&gt;"")),AS62,(AS62*(AT66^2+AT67^2)+AT66*(AS62^2+AS63^2))/((AS62+AT66)^2+(AS63+AT67)^2))</f>
        <v/>
      </c>
      <c r="AT64" s="108" t="str">
        <f>IF(X65="",AS64,N(AS64)+(X65/1000))</f>
        <v/>
      </c>
      <c r="AU64" s="108" t="str">
        <f>IF(AU62="","",(AT64*(AU62^2+AU63^2)+AU62*(AT64^2+AT65^2))/((AT64+AU62)^2+(AT65+AU63)^2))</f>
        <v/>
      </c>
      <c r="AV64" s="108">
        <f>IF(BA64=0,1,0)</f>
        <v>1</v>
      </c>
      <c r="AW64" s="109" t="str">
        <f>IF(AO64="","",AW62+AO64)</f>
        <v/>
      </c>
      <c r="AX64" s="110" t="str">
        <f>IF(AND(AX60="",AW64&lt;&gt;""),BA64*SQRT(AW62^2+AW63^2)/SQRT(AW64^2+AW65^2),IF(BA64&lt;&gt;0,AX60,""))</f>
        <v/>
      </c>
      <c r="AY64" s="350">
        <f>IF(L64="",10^30,SQRT(BA62)*(BA64^2)*(N(AN62)+N(AN64)+N(AO62)+N(AV62))/(100000*L64*M62))</f>
        <v>1E+30</v>
      </c>
      <c r="AZ64" s="351"/>
      <c r="BA64" s="335">
        <f>IF(AND(J62="",SUM(S62:S65)&lt;&gt;0),BA60,J62)</f>
        <v>0</v>
      </c>
      <c r="BB64" s="285">
        <f t="shared" si="0"/>
        <v>0</v>
      </c>
      <c r="BC64" s="72"/>
      <c r="BD64" s="72"/>
    </row>
    <row r="65" spans="1:56" ht="17.25" hidden="1" customHeight="1" x14ac:dyDescent="0.15">
      <c r="A65" s="367"/>
      <c r="B65" s="367"/>
      <c r="D65" s="649"/>
      <c r="E65" s="652"/>
      <c r="F65" s="694"/>
      <c r="G65" s="694"/>
      <c r="H65" s="694"/>
      <c r="I65" s="694"/>
      <c r="J65" s="694"/>
      <c r="K65" s="695"/>
      <c r="L65" s="696" t="str">
        <f>IF(M62="","",L64*1000*M62/(SQRT(BA62)*BA64))</f>
        <v/>
      </c>
      <c r="M65" s="697"/>
      <c r="N65" s="677"/>
      <c r="O65" s="352"/>
      <c r="P65" s="353"/>
      <c r="Q65" s="354"/>
      <c r="R65" s="355"/>
      <c r="S65" s="119" t="str">
        <f>IF(R65="","",IF(Q65="",P65/R65,P65/(Q65*R65)))</f>
        <v/>
      </c>
      <c r="T65" s="356"/>
      <c r="U65" s="120" t="str">
        <f>IF(OR(BA64="",S65=""),"",S65*1000*T65/(SQRT(BA62)*BA64))</f>
        <v/>
      </c>
      <c r="V65" s="121" t="str">
        <f>IF(AND(N(U62)=0,N(U63)=0,N(U64)=0,N(U65)=0),"",IF(V62&gt;=0,SQRT(ABS(V62^2-V64^2)),-SQRT(V62^2-V64^2)))</f>
        <v/>
      </c>
      <c r="W65" s="693"/>
      <c r="X65" s="698" t="str">
        <f>IF(Y64="","",AQ62*Z64*AR62*((1+0.00393*(F65-20))/1.2751)/Y64)</f>
        <v/>
      </c>
      <c r="Y65" s="699"/>
      <c r="Z65" s="700" t="str">
        <f>IF(Y64="","",(BA65/50)*AQ62*Z64*AR63/Y64)</f>
        <v/>
      </c>
      <c r="AA65" s="701"/>
      <c r="AB65" s="702" t="str">
        <f>IF(AC64="","",AQ62*AD64*AR64*((1+0.00393*(F65-20))/1.2751)/AC64)</f>
        <v/>
      </c>
      <c r="AC65" s="699"/>
      <c r="AD65" s="700" t="str">
        <f>IF(AC64="","",(BA65/50)*AQ62*AD64*AR65/AC64)</f>
        <v/>
      </c>
      <c r="AE65" s="703"/>
      <c r="AF65" s="122" t="str">
        <f>IF(AND(AX62&lt;&gt;"",D62=""),AX62,"")</f>
        <v/>
      </c>
      <c r="AG65" s="698" t="str">
        <f>IF(AP64="","",AP64)</f>
        <v/>
      </c>
      <c r="AH65" s="699"/>
      <c r="AI65" s="123" t="str">
        <f>IF(AP65="","",AP65)</f>
        <v/>
      </c>
      <c r="AJ65" s="668"/>
      <c r="AK65" s="670"/>
      <c r="AL65" s="357"/>
      <c r="AM65" s="72"/>
      <c r="AN65" s="270" t="b">
        <f>IF(BA62="","",IF(AND(BA62=3,F64=50,L62="油入自冷"),VLOOKUP(L64,変３,3,FALSE),IF(AND(BA62=3,F64=50,L62="モ－ルド絶縁"),VLOOKUP(L64,変３,8,FALSE),IF(AND(BA62=3,F64=60,L62="油入自冷"),VLOOKUP(L64,変３,13,FALSE),IF(AND(BA62=3,F64=60,L62="モ－ルド絶縁"),VLOOKUP(L64,変３,18,FALSE),FALSE)))))</f>
        <v>0</v>
      </c>
      <c r="AO65" s="270" t="str">
        <f>IF(AND(L58="",N(AY63)&lt;10^29),AY63,"")</f>
        <v/>
      </c>
      <c r="AP65" s="271" t="str">
        <f>IF(V62="","",IF(AND(N(V65)=0,N(AP63)=0),0,(AQ65-AP63*(AQ64^2+AQ65^2))/((AQ64*AP63)^2+(AP63*AQ65-1)^2)))</f>
        <v/>
      </c>
      <c r="AQ65" s="272">
        <f>IF(N(V65)=0,10^30,V65)</f>
        <v>1E+30</v>
      </c>
      <c r="AR65" s="270" t="str">
        <f>IF(AB62="","",IF(AB62="600V IV",VLOOKUP(AB64,ＩＶ,3,FALSE),IF(AB62="600V CV-T",VLOOKUP(AB64,ＣＶＴ,3,FALSE),IF(OR(AB62="600V CV-1C",AB62="600V CV-2C",AB62="600V CV-3C",AB62="600V CV-4C"),VLOOKUP(AB64,ＣＶ２３Ｃ,3,FALSE),VLOOKUP(AB64,ＣＵＳＥＲ,3,FALSE)))))</f>
        <v/>
      </c>
      <c r="AS65" s="272" t="str">
        <f>IF(OR(AND(AS66="",AS67=""),AND(D62="",D66&lt;&gt;"")),AS63,(AS63*(AT66^2+AT67^2)+AT67*(AS62^2+AS63^2))/((AS62+AT66)^2+(AS63+AT67)^2))</f>
        <v/>
      </c>
      <c r="AT65" s="273" t="str">
        <f>IF(Z65="",AS65,N(AS65)+(Z65/1000))</f>
        <v/>
      </c>
      <c r="AU65" s="273" t="str">
        <f>IF(AU63="","",(AT65*(AU62^2+AU63^2)+AU63*(AT64^2+AT65^2))/((AT64+AU62)^2+(AT65+AU63)^2))</f>
        <v/>
      </c>
      <c r="AV65" s="273">
        <f>AV61+AV64</f>
        <v>11</v>
      </c>
      <c r="AW65" s="272" t="str">
        <f>IF(AO65="","",AW63+AO65)</f>
        <v/>
      </c>
      <c r="AX65" s="274"/>
      <c r="AY65" s="350">
        <f>IF(L64="",10^30,SQRT(BA62)*(BA64^2)*(N(AN63)+N(AN65)+N(AO63)+N(AV63))/(100000*L64*M62))</f>
        <v>1E+30</v>
      </c>
      <c r="AZ65" s="351"/>
      <c r="BA65" s="335">
        <f>IF(AND(F64="",SUM(S62:S65)&lt;&gt;0),BA61,F64)</f>
        <v>0</v>
      </c>
      <c r="BB65" s="285">
        <f t="shared" si="0"/>
        <v>0</v>
      </c>
      <c r="BC65" s="72"/>
      <c r="BD65" s="72"/>
    </row>
    <row r="66" spans="1:56" ht="19.5" customHeight="1" x14ac:dyDescent="0.15">
      <c r="D66" s="734"/>
      <c r="E66" s="735"/>
      <c r="F66" s="735"/>
      <c r="G66" s="735"/>
      <c r="H66" s="735"/>
      <c r="I66" s="735"/>
      <c r="J66" s="735"/>
      <c r="K66" s="735"/>
      <c r="L66" s="735"/>
      <c r="M66" s="735"/>
      <c r="N66" s="735"/>
      <c r="O66" s="735"/>
      <c r="P66" s="735"/>
      <c r="Q66" s="735"/>
      <c r="R66" s="735"/>
      <c r="S66" s="735"/>
      <c r="T66" s="735"/>
      <c r="U66" s="735"/>
      <c r="V66" s="735"/>
      <c r="W66" s="735"/>
      <c r="X66" s="735"/>
      <c r="Y66" s="735"/>
      <c r="Z66" s="735"/>
      <c r="AA66" s="735"/>
      <c r="AB66" s="736"/>
      <c r="AC66" s="743"/>
      <c r="AD66" s="735"/>
      <c r="AE66" s="735"/>
      <c r="AF66" s="735"/>
      <c r="AG66" s="735"/>
      <c r="AH66" s="735"/>
      <c r="AI66" s="735"/>
      <c r="AJ66" s="735"/>
      <c r="AK66" s="735"/>
      <c r="AL66" s="744"/>
      <c r="AM66" s="72"/>
      <c r="AN66" s="72"/>
      <c r="AO66" s="72"/>
      <c r="AP66" s="72"/>
      <c r="AQ66" s="72"/>
      <c r="AR66" s="72"/>
      <c r="AS66" s="72"/>
      <c r="AT66" s="72"/>
      <c r="AU66" s="72"/>
      <c r="AV66" s="72"/>
      <c r="AW66" s="72"/>
      <c r="AX66" s="72"/>
      <c r="AY66" s="72"/>
      <c r="AZ66" s="72"/>
      <c r="BA66" s="72"/>
      <c r="BB66" s="72"/>
      <c r="BC66" s="72"/>
      <c r="BD66" s="72"/>
    </row>
    <row r="67" spans="1:56" ht="19.5" customHeight="1" x14ac:dyDescent="0.15">
      <c r="D67" s="737"/>
      <c r="E67" s="738"/>
      <c r="F67" s="738"/>
      <c r="G67" s="738"/>
      <c r="H67" s="738"/>
      <c r="I67" s="738"/>
      <c r="J67" s="738"/>
      <c r="K67" s="738"/>
      <c r="L67" s="738"/>
      <c r="M67" s="738"/>
      <c r="N67" s="738"/>
      <c r="O67" s="738"/>
      <c r="P67" s="738"/>
      <c r="Q67" s="738"/>
      <c r="R67" s="738"/>
      <c r="S67" s="738"/>
      <c r="T67" s="738"/>
      <c r="U67" s="738"/>
      <c r="V67" s="738"/>
      <c r="W67" s="738"/>
      <c r="X67" s="738"/>
      <c r="Y67" s="738"/>
      <c r="Z67" s="738"/>
      <c r="AA67" s="738"/>
      <c r="AB67" s="739"/>
      <c r="AC67" s="745"/>
      <c r="AD67" s="738"/>
      <c r="AE67" s="738"/>
      <c r="AF67" s="738"/>
      <c r="AG67" s="738"/>
      <c r="AH67" s="738"/>
      <c r="AI67" s="738"/>
      <c r="AJ67" s="738"/>
      <c r="AK67" s="738"/>
      <c r="AL67" s="746"/>
    </row>
    <row r="68" spans="1:56" ht="19.5" customHeight="1" x14ac:dyDescent="0.15">
      <c r="D68" s="737"/>
      <c r="E68" s="738"/>
      <c r="F68" s="738"/>
      <c r="G68" s="738"/>
      <c r="H68" s="738"/>
      <c r="I68" s="738"/>
      <c r="J68" s="738"/>
      <c r="K68" s="738"/>
      <c r="L68" s="738"/>
      <c r="M68" s="738"/>
      <c r="N68" s="738"/>
      <c r="O68" s="738"/>
      <c r="P68" s="738"/>
      <c r="Q68" s="738"/>
      <c r="R68" s="738"/>
      <c r="S68" s="738"/>
      <c r="T68" s="738"/>
      <c r="U68" s="738"/>
      <c r="V68" s="738"/>
      <c r="W68" s="738"/>
      <c r="X68" s="738"/>
      <c r="Y68" s="738"/>
      <c r="Z68" s="738"/>
      <c r="AA68" s="738"/>
      <c r="AB68" s="739"/>
      <c r="AC68" s="745"/>
      <c r="AD68" s="738"/>
      <c r="AE68" s="738"/>
      <c r="AF68" s="738"/>
      <c r="AG68" s="738"/>
      <c r="AH68" s="738"/>
      <c r="AI68" s="738"/>
      <c r="AJ68" s="738"/>
      <c r="AK68" s="738"/>
      <c r="AL68" s="746"/>
    </row>
    <row r="69" spans="1:56" ht="19.5" customHeight="1" x14ac:dyDescent="0.15">
      <c r="D69" s="737"/>
      <c r="E69" s="738"/>
      <c r="F69" s="738"/>
      <c r="G69" s="738"/>
      <c r="H69" s="738"/>
      <c r="I69" s="738"/>
      <c r="J69" s="738"/>
      <c r="K69" s="738"/>
      <c r="L69" s="738"/>
      <c r="M69" s="738"/>
      <c r="N69" s="738"/>
      <c r="O69" s="738"/>
      <c r="P69" s="738"/>
      <c r="Q69" s="738"/>
      <c r="R69" s="738"/>
      <c r="S69" s="738"/>
      <c r="T69" s="738"/>
      <c r="U69" s="738"/>
      <c r="V69" s="738"/>
      <c r="W69" s="738"/>
      <c r="X69" s="738"/>
      <c r="Y69" s="738"/>
      <c r="Z69" s="738"/>
      <c r="AA69" s="738"/>
      <c r="AB69" s="739"/>
      <c r="AC69" s="745"/>
      <c r="AD69" s="738"/>
      <c r="AE69" s="738"/>
      <c r="AF69" s="738"/>
      <c r="AG69" s="738"/>
      <c r="AH69" s="738"/>
      <c r="AI69" s="738"/>
      <c r="AJ69" s="738"/>
      <c r="AK69" s="738"/>
      <c r="AL69" s="746"/>
      <c r="AN69" s="72"/>
    </row>
    <row r="70" spans="1:56" ht="19.5" customHeight="1" x14ac:dyDescent="0.15">
      <c r="D70" s="737"/>
      <c r="E70" s="738"/>
      <c r="F70" s="738"/>
      <c r="G70" s="738"/>
      <c r="H70" s="738"/>
      <c r="I70" s="738"/>
      <c r="J70" s="738"/>
      <c r="K70" s="738"/>
      <c r="L70" s="738"/>
      <c r="M70" s="738"/>
      <c r="N70" s="738"/>
      <c r="O70" s="738"/>
      <c r="P70" s="738"/>
      <c r="Q70" s="738"/>
      <c r="R70" s="738"/>
      <c r="S70" s="738"/>
      <c r="T70" s="738"/>
      <c r="U70" s="738"/>
      <c r="V70" s="738"/>
      <c r="W70" s="738"/>
      <c r="X70" s="738"/>
      <c r="Y70" s="738"/>
      <c r="Z70" s="738"/>
      <c r="AA70" s="738"/>
      <c r="AB70" s="739"/>
      <c r="AC70" s="745"/>
      <c r="AD70" s="738"/>
      <c r="AE70" s="738"/>
      <c r="AF70" s="738"/>
      <c r="AG70" s="738"/>
      <c r="AH70" s="738"/>
      <c r="AI70" s="738"/>
      <c r="AJ70" s="738"/>
      <c r="AK70" s="738"/>
      <c r="AL70" s="746"/>
    </row>
    <row r="71" spans="1:56" ht="19.5" customHeight="1" x14ac:dyDescent="0.15">
      <c r="D71" s="737"/>
      <c r="E71" s="738"/>
      <c r="F71" s="738"/>
      <c r="G71" s="738"/>
      <c r="H71" s="738"/>
      <c r="I71" s="738"/>
      <c r="J71" s="738"/>
      <c r="K71" s="738"/>
      <c r="L71" s="738"/>
      <c r="M71" s="738"/>
      <c r="N71" s="738"/>
      <c r="O71" s="738"/>
      <c r="P71" s="738"/>
      <c r="Q71" s="738"/>
      <c r="R71" s="738"/>
      <c r="S71" s="738"/>
      <c r="T71" s="738"/>
      <c r="U71" s="738"/>
      <c r="V71" s="738"/>
      <c r="W71" s="738"/>
      <c r="X71" s="738"/>
      <c r="Y71" s="738"/>
      <c r="Z71" s="738"/>
      <c r="AA71" s="738"/>
      <c r="AB71" s="739"/>
      <c r="AC71" s="745"/>
      <c r="AD71" s="738"/>
      <c r="AE71" s="738"/>
      <c r="AF71" s="738"/>
      <c r="AG71" s="738"/>
      <c r="AH71" s="738"/>
      <c r="AI71" s="738"/>
      <c r="AJ71" s="738"/>
      <c r="AK71" s="738"/>
      <c r="AL71" s="746"/>
    </row>
    <row r="72" spans="1:56" ht="19.5" customHeight="1" x14ac:dyDescent="0.15">
      <c r="D72" s="737"/>
      <c r="E72" s="738"/>
      <c r="F72" s="738"/>
      <c r="G72" s="738"/>
      <c r="H72" s="738"/>
      <c r="I72" s="738"/>
      <c r="J72" s="738"/>
      <c r="K72" s="738"/>
      <c r="L72" s="738"/>
      <c r="M72" s="738"/>
      <c r="N72" s="738"/>
      <c r="O72" s="738"/>
      <c r="P72" s="738"/>
      <c r="Q72" s="738"/>
      <c r="R72" s="738"/>
      <c r="S72" s="738"/>
      <c r="T72" s="738"/>
      <c r="U72" s="738"/>
      <c r="V72" s="738"/>
      <c r="W72" s="738"/>
      <c r="X72" s="738"/>
      <c r="Y72" s="738"/>
      <c r="Z72" s="738"/>
      <c r="AA72" s="738"/>
      <c r="AB72" s="739"/>
      <c r="AC72" s="745"/>
      <c r="AD72" s="738"/>
      <c r="AE72" s="738"/>
      <c r="AF72" s="738"/>
      <c r="AG72" s="738"/>
      <c r="AH72" s="738"/>
      <c r="AI72" s="738"/>
      <c r="AJ72" s="738"/>
      <c r="AK72" s="738"/>
      <c r="AL72" s="746"/>
    </row>
    <row r="73" spans="1:56" ht="19.5" customHeight="1" x14ac:dyDescent="0.15">
      <c r="D73" s="737"/>
      <c r="E73" s="738"/>
      <c r="F73" s="738"/>
      <c r="G73" s="738"/>
      <c r="H73" s="738"/>
      <c r="I73" s="738"/>
      <c r="J73" s="738"/>
      <c r="K73" s="738"/>
      <c r="L73" s="738"/>
      <c r="M73" s="738"/>
      <c r="N73" s="738"/>
      <c r="O73" s="738"/>
      <c r="P73" s="738"/>
      <c r="Q73" s="738"/>
      <c r="R73" s="738"/>
      <c r="S73" s="738"/>
      <c r="T73" s="738"/>
      <c r="U73" s="738"/>
      <c r="V73" s="738"/>
      <c r="W73" s="738"/>
      <c r="X73" s="738"/>
      <c r="Y73" s="738"/>
      <c r="Z73" s="738"/>
      <c r="AA73" s="738"/>
      <c r="AB73" s="739"/>
      <c r="AC73" s="745"/>
      <c r="AD73" s="738"/>
      <c r="AE73" s="738"/>
      <c r="AF73" s="738"/>
      <c r="AG73" s="738"/>
      <c r="AH73" s="738"/>
      <c r="AI73" s="738"/>
      <c r="AJ73" s="738"/>
      <c r="AK73" s="738"/>
      <c r="AL73" s="746"/>
    </row>
    <row r="74" spans="1:56" ht="19.5" customHeight="1" x14ac:dyDescent="0.15">
      <c r="D74" s="737"/>
      <c r="E74" s="738"/>
      <c r="F74" s="738"/>
      <c r="G74" s="738"/>
      <c r="H74" s="738"/>
      <c r="I74" s="738"/>
      <c r="J74" s="738"/>
      <c r="K74" s="738"/>
      <c r="L74" s="738"/>
      <c r="M74" s="738"/>
      <c r="N74" s="738"/>
      <c r="O74" s="738"/>
      <c r="P74" s="738"/>
      <c r="Q74" s="738"/>
      <c r="R74" s="738"/>
      <c r="S74" s="738"/>
      <c r="T74" s="738"/>
      <c r="U74" s="738"/>
      <c r="V74" s="738"/>
      <c r="W74" s="738"/>
      <c r="X74" s="738"/>
      <c r="Y74" s="738"/>
      <c r="Z74" s="738"/>
      <c r="AA74" s="738"/>
      <c r="AB74" s="739"/>
      <c r="AC74" s="745"/>
      <c r="AD74" s="738"/>
      <c r="AE74" s="738"/>
      <c r="AF74" s="738"/>
      <c r="AG74" s="738"/>
      <c r="AH74" s="738"/>
      <c r="AI74" s="738"/>
      <c r="AJ74" s="738"/>
      <c r="AK74" s="738"/>
      <c r="AL74" s="746"/>
    </row>
    <row r="75" spans="1:56" ht="19.5" customHeight="1" x14ac:dyDescent="0.15">
      <c r="D75" s="737"/>
      <c r="E75" s="738"/>
      <c r="F75" s="738"/>
      <c r="G75" s="738"/>
      <c r="H75" s="738"/>
      <c r="I75" s="738"/>
      <c r="J75" s="738"/>
      <c r="K75" s="738"/>
      <c r="L75" s="738"/>
      <c r="M75" s="738"/>
      <c r="N75" s="738"/>
      <c r="O75" s="738"/>
      <c r="P75" s="738"/>
      <c r="Q75" s="738"/>
      <c r="R75" s="738"/>
      <c r="S75" s="738"/>
      <c r="T75" s="738"/>
      <c r="U75" s="738"/>
      <c r="V75" s="738"/>
      <c r="W75" s="738"/>
      <c r="X75" s="738"/>
      <c r="Y75" s="738"/>
      <c r="Z75" s="738"/>
      <c r="AA75" s="738"/>
      <c r="AB75" s="739"/>
      <c r="AC75" s="745"/>
      <c r="AD75" s="738"/>
      <c r="AE75" s="738"/>
      <c r="AF75" s="738"/>
      <c r="AG75" s="738"/>
      <c r="AH75" s="738"/>
      <c r="AI75" s="738"/>
      <c r="AJ75" s="738"/>
      <c r="AK75" s="738"/>
      <c r="AL75" s="746"/>
    </row>
    <row r="76" spans="1:56" ht="19.5" customHeight="1" x14ac:dyDescent="0.15">
      <c r="D76" s="737"/>
      <c r="E76" s="738"/>
      <c r="F76" s="738"/>
      <c r="G76" s="738"/>
      <c r="H76" s="738"/>
      <c r="I76" s="738"/>
      <c r="J76" s="738"/>
      <c r="K76" s="738"/>
      <c r="L76" s="738"/>
      <c r="M76" s="738"/>
      <c r="N76" s="738"/>
      <c r="O76" s="738"/>
      <c r="P76" s="738"/>
      <c r="Q76" s="738"/>
      <c r="R76" s="738"/>
      <c r="S76" s="738"/>
      <c r="T76" s="738"/>
      <c r="U76" s="738"/>
      <c r="V76" s="738"/>
      <c r="W76" s="738"/>
      <c r="X76" s="738"/>
      <c r="Y76" s="738"/>
      <c r="Z76" s="738"/>
      <c r="AA76" s="738"/>
      <c r="AB76" s="739"/>
      <c r="AC76" s="745"/>
      <c r="AD76" s="738"/>
      <c r="AE76" s="738"/>
      <c r="AF76" s="738"/>
      <c r="AG76" s="738"/>
      <c r="AH76" s="738"/>
      <c r="AI76" s="738"/>
      <c r="AJ76" s="738"/>
      <c r="AK76" s="738"/>
      <c r="AL76" s="746"/>
    </row>
    <row r="77" spans="1:56" ht="19.5" customHeight="1" x14ac:dyDescent="0.15">
      <c r="D77" s="740"/>
      <c r="E77" s="741"/>
      <c r="F77" s="741"/>
      <c r="G77" s="741"/>
      <c r="H77" s="741"/>
      <c r="I77" s="741"/>
      <c r="J77" s="741"/>
      <c r="K77" s="741"/>
      <c r="L77" s="741"/>
      <c r="M77" s="741"/>
      <c r="N77" s="741"/>
      <c r="O77" s="741"/>
      <c r="P77" s="741"/>
      <c r="Q77" s="741"/>
      <c r="R77" s="741"/>
      <c r="S77" s="741"/>
      <c r="T77" s="741"/>
      <c r="U77" s="741"/>
      <c r="V77" s="741"/>
      <c r="W77" s="741"/>
      <c r="X77" s="741"/>
      <c r="Y77" s="741"/>
      <c r="Z77" s="741"/>
      <c r="AA77" s="741"/>
      <c r="AB77" s="742"/>
      <c r="AC77" s="747"/>
      <c r="AD77" s="741"/>
      <c r="AE77" s="741"/>
      <c r="AF77" s="741"/>
      <c r="AG77" s="741"/>
      <c r="AH77" s="741"/>
      <c r="AI77" s="741"/>
      <c r="AJ77" s="741"/>
      <c r="AK77" s="741"/>
      <c r="AL77" s="748"/>
    </row>
    <row r="78" spans="1:56" ht="36" customHeight="1" thickBot="1" x14ac:dyDescent="0.2">
      <c r="D78" s="275"/>
      <c r="E78" s="749" t="s">
        <v>313</v>
      </c>
      <c r="F78" s="750"/>
      <c r="G78" s="750"/>
      <c r="H78" s="750"/>
      <c r="I78" s="750"/>
      <c r="J78" s="750"/>
      <c r="K78" s="750"/>
      <c r="L78" s="750"/>
      <c r="M78" s="750"/>
      <c r="N78" s="750"/>
      <c r="O78" s="750"/>
      <c r="P78" s="750"/>
      <c r="Q78" s="750"/>
      <c r="R78" s="751"/>
      <c r="S78" s="752" t="s">
        <v>242</v>
      </c>
      <c r="T78" s="753"/>
      <c r="U78" s="753"/>
      <c r="V78" s="753"/>
      <c r="W78" s="753"/>
      <c r="X78" s="754"/>
      <c r="Y78" s="755" t="s">
        <v>243</v>
      </c>
      <c r="Z78" s="756"/>
      <c r="AA78" s="756"/>
      <c r="AB78" s="756"/>
      <c r="AC78" s="756"/>
      <c r="AD78" s="756"/>
      <c r="AE78" s="757"/>
      <c r="AF78" s="758"/>
      <c r="AG78" s="759"/>
      <c r="AH78" s="760"/>
      <c r="AI78" s="761" t="s">
        <v>314</v>
      </c>
      <c r="AJ78" s="762"/>
      <c r="AK78" s="763"/>
      <c r="AL78" s="276" t="s">
        <v>315</v>
      </c>
    </row>
  </sheetData>
  <sheetProtection password="B220" sheet="1" objects="1" scenarios="1"/>
  <mergeCells count="480">
    <mergeCell ref="D66:AB77"/>
    <mergeCell ref="AC66:AL77"/>
    <mergeCell ref="E78:R78"/>
    <mergeCell ref="S78:X78"/>
    <mergeCell ref="Y78:AE78"/>
    <mergeCell ref="AF78:AH78"/>
    <mergeCell ref="AI78:AK78"/>
    <mergeCell ref="AK64:AK65"/>
    <mergeCell ref="F65:K65"/>
    <mergeCell ref="L65:M65"/>
    <mergeCell ref="X65:Y65"/>
    <mergeCell ref="Z65:AA65"/>
    <mergeCell ref="AB65:AC65"/>
    <mergeCell ref="AD65:AE65"/>
    <mergeCell ref="AG65:AH65"/>
    <mergeCell ref="D62:D65"/>
    <mergeCell ref="E62:E65"/>
    <mergeCell ref="X62:Z63"/>
    <mergeCell ref="AA62:AA63"/>
    <mergeCell ref="AB62:AD63"/>
    <mergeCell ref="AE62:AE63"/>
    <mergeCell ref="AG62:AH62"/>
    <mergeCell ref="AJ62:AK63"/>
    <mergeCell ref="AG63:AH63"/>
    <mergeCell ref="AI63:AI64"/>
    <mergeCell ref="AG64:AH64"/>
    <mergeCell ref="AJ64:AJ65"/>
    <mergeCell ref="J62:J63"/>
    <mergeCell ref="K62:K63"/>
    <mergeCell ref="L62:L63"/>
    <mergeCell ref="N62:N65"/>
    <mergeCell ref="V62:V63"/>
    <mergeCell ref="W62:W63"/>
    <mergeCell ref="F64:K64"/>
    <mergeCell ref="L64:M64"/>
    <mergeCell ref="W64:W65"/>
    <mergeCell ref="F62:F63"/>
    <mergeCell ref="G62:G63"/>
    <mergeCell ref="H62:H63"/>
    <mergeCell ref="I62:I63"/>
    <mergeCell ref="AK60:AK61"/>
    <mergeCell ref="F61:K61"/>
    <mergeCell ref="L61:M61"/>
    <mergeCell ref="X61:Y61"/>
    <mergeCell ref="Z61:AA61"/>
    <mergeCell ref="AB61:AC61"/>
    <mergeCell ref="AD61:AE61"/>
    <mergeCell ref="AG61:AH61"/>
    <mergeCell ref="X58:Z59"/>
    <mergeCell ref="AA58:AA59"/>
    <mergeCell ref="AB58:AD59"/>
    <mergeCell ref="AE58:AE59"/>
    <mergeCell ref="AG58:AH58"/>
    <mergeCell ref="AJ58:AK59"/>
    <mergeCell ref="AG59:AH59"/>
    <mergeCell ref="AI59:AI60"/>
    <mergeCell ref="AG60:AH60"/>
    <mergeCell ref="AJ60:AJ61"/>
    <mergeCell ref="J58:J59"/>
    <mergeCell ref="K58:K59"/>
    <mergeCell ref="L58:L59"/>
    <mergeCell ref="N58:N61"/>
    <mergeCell ref="V58:V59"/>
    <mergeCell ref="W58:W59"/>
    <mergeCell ref="F60:K60"/>
    <mergeCell ref="L60:M60"/>
    <mergeCell ref="W60:W61"/>
    <mergeCell ref="D58:D61"/>
    <mergeCell ref="E58:E61"/>
    <mergeCell ref="F58:F59"/>
    <mergeCell ref="G58:G59"/>
    <mergeCell ref="H58:H59"/>
    <mergeCell ref="I58:I59"/>
    <mergeCell ref="AK56:AK57"/>
    <mergeCell ref="F57:K57"/>
    <mergeCell ref="L57:M57"/>
    <mergeCell ref="X57:Y57"/>
    <mergeCell ref="Z57:AA57"/>
    <mergeCell ref="AB57:AC57"/>
    <mergeCell ref="AD57:AE57"/>
    <mergeCell ref="AG57:AH57"/>
    <mergeCell ref="X54:Z55"/>
    <mergeCell ref="AA54:AA55"/>
    <mergeCell ref="AB54:AD55"/>
    <mergeCell ref="AE54:AE55"/>
    <mergeCell ref="AG54:AH54"/>
    <mergeCell ref="AJ54:AK55"/>
    <mergeCell ref="AG55:AH55"/>
    <mergeCell ref="AI55:AI56"/>
    <mergeCell ref="AG56:AH56"/>
    <mergeCell ref="AJ56:AJ57"/>
    <mergeCell ref="J54:J55"/>
    <mergeCell ref="K54:K55"/>
    <mergeCell ref="L54:L55"/>
    <mergeCell ref="N54:N57"/>
    <mergeCell ref="V54:V55"/>
    <mergeCell ref="W54:W55"/>
    <mergeCell ref="F56:K56"/>
    <mergeCell ref="L56:M56"/>
    <mergeCell ref="W56:W57"/>
    <mergeCell ref="D54:D57"/>
    <mergeCell ref="E54:E57"/>
    <mergeCell ref="F54:F55"/>
    <mergeCell ref="G54:G55"/>
    <mergeCell ref="H54:H55"/>
    <mergeCell ref="I54:I55"/>
    <mergeCell ref="AK52:AK53"/>
    <mergeCell ref="F53:K53"/>
    <mergeCell ref="L53:M53"/>
    <mergeCell ref="X53:Y53"/>
    <mergeCell ref="Z53:AA53"/>
    <mergeCell ref="AB53:AC53"/>
    <mergeCell ref="AD53:AE53"/>
    <mergeCell ref="AG53:AH53"/>
    <mergeCell ref="X50:Z51"/>
    <mergeCell ref="AA50:AA51"/>
    <mergeCell ref="AB50:AD51"/>
    <mergeCell ref="AE50:AE51"/>
    <mergeCell ref="AG50:AH50"/>
    <mergeCell ref="AJ50:AK51"/>
    <mergeCell ref="AG51:AH51"/>
    <mergeCell ref="AI51:AI52"/>
    <mergeCell ref="AG52:AH52"/>
    <mergeCell ref="AJ52:AJ53"/>
    <mergeCell ref="J50:J51"/>
    <mergeCell ref="K50:K51"/>
    <mergeCell ref="L50:L51"/>
    <mergeCell ref="N50:N53"/>
    <mergeCell ref="V50:V51"/>
    <mergeCell ref="W50:W51"/>
    <mergeCell ref="F52:K52"/>
    <mergeCell ref="L52:M52"/>
    <mergeCell ref="W52:W53"/>
    <mergeCell ref="D50:D53"/>
    <mergeCell ref="E50:E53"/>
    <mergeCell ref="F50:F51"/>
    <mergeCell ref="G50:G51"/>
    <mergeCell ref="H50:H51"/>
    <mergeCell ref="I50:I51"/>
    <mergeCell ref="AK48:AK49"/>
    <mergeCell ref="F49:K49"/>
    <mergeCell ref="L49:M49"/>
    <mergeCell ref="X49:Y49"/>
    <mergeCell ref="Z49:AA49"/>
    <mergeCell ref="AB49:AC49"/>
    <mergeCell ref="AD49:AE49"/>
    <mergeCell ref="AG49:AH49"/>
    <mergeCell ref="X46:Z47"/>
    <mergeCell ref="AA46:AA47"/>
    <mergeCell ref="AB46:AD47"/>
    <mergeCell ref="AE46:AE47"/>
    <mergeCell ref="AG46:AH46"/>
    <mergeCell ref="AJ46:AK47"/>
    <mergeCell ref="AG47:AH47"/>
    <mergeCell ref="AI47:AI48"/>
    <mergeCell ref="AG48:AH48"/>
    <mergeCell ref="AJ48:AJ49"/>
    <mergeCell ref="J46:J47"/>
    <mergeCell ref="K46:K47"/>
    <mergeCell ref="L46:L47"/>
    <mergeCell ref="N46:N49"/>
    <mergeCell ref="V46:V47"/>
    <mergeCell ref="W46:W47"/>
    <mergeCell ref="F48:K48"/>
    <mergeCell ref="L48:M48"/>
    <mergeCell ref="W48:W49"/>
    <mergeCell ref="D46:D49"/>
    <mergeCell ref="E46:E49"/>
    <mergeCell ref="F46:F47"/>
    <mergeCell ref="G46:G47"/>
    <mergeCell ref="H46:H47"/>
    <mergeCell ref="I46:I47"/>
    <mergeCell ref="AK44:AK45"/>
    <mergeCell ref="F45:K45"/>
    <mergeCell ref="L45:M45"/>
    <mergeCell ref="X45:Y45"/>
    <mergeCell ref="Z45:AA45"/>
    <mergeCell ref="AB45:AC45"/>
    <mergeCell ref="AD45:AE45"/>
    <mergeCell ref="AG45:AH45"/>
    <mergeCell ref="X42:Z43"/>
    <mergeCell ref="AA42:AA43"/>
    <mergeCell ref="AB42:AD43"/>
    <mergeCell ref="AE42:AE43"/>
    <mergeCell ref="AG42:AH42"/>
    <mergeCell ref="AJ42:AK43"/>
    <mergeCell ref="AG43:AH43"/>
    <mergeCell ref="AI43:AI44"/>
    <mergeCell ref="AG44:AH44"/>
    <mergeCell ref="AJ44:AJ45"/>
    <mergeCell ref="J42:J43"/>
    <mergeCell ref="K42:K43"/>
    <mergeCell ref="L42:L43"/>
    <mergeCell ref="N42:N45"/>
    <mergeCell ref="V42:V43"/>
    <mergeCell ref="W42:W43"/>
    <mergeCell ref="F44:K44"/>
    <mergeCell ref="L44:M44"/>
    <mergeCell ref="W44:W45"/>
    <mergeCell ref="D42:D45"/>
    <mergeCell ref="E42:E45"/>
    <mergeCell ref="F42:F43"/>
    <mergeCell ref="G42:G43"/>
    <mergeCell ref="H42:H43"/>
    <mergeCell ref="I42:I43"/>
    <mergeCell ref="AK40:AK41"/>
    <mergeCell ref="F41:K41"/>
    <mergeCell ref="L41:M41"/>
    <mergeCell ref="X41:Y41"/>
    <mergeCell ref="Z41:AA41"/>
    <mergeCell ref="AB41:AC41"/>
    <mergeCell ref="AD41:AE41"/>
    <mergeCell ref="AG41:AH41"/>
    <mergeCell ref="X38:Z39"/>
    <mergeCell ref="AA38:AA39"/>
    <mergeCell ref="AB38:AD39"/>
    <mergeCell ref="AE38:AE39"/>
    <mergeCell ref="AG38:AH38"/>
    <mergeCell ref="AJ38:AK39"/>
    <mergeCell ref="AG39:AH39"/>
    <mergeCell ref="AI39:AI40"/>
    <mergeCell ref="AG40:AH40"/>
    <mergeCell ref="AJ40:AJ41"/>
    <mergeCell ref="J38:J39"/>
    <mergeCell ref="K38:K39"/>
    <mergeCell ref="L38:L39"/>
    <mergeCell ref="N38:N41"/>
    <mergeCell ref="V38:V39"/>
    <mergeCell ref="W38:W39"/>
    <mergeCell ref="F40:K40"/>
    <mergeCell ref="L40:M40"/>
    <mergeCell ref="W40:W41"/>
    <mergeCell ref="D38:D41"/>
    <mergeCell ref="E38:E41"/>
    <mergeCell ref="F38:F39"/>
    <mergeCell ref="G38:G39"/>
    <mergeCell ref="H38:H39"/>
    <mergeCell ref="I38:I39"/>
    <mergeCell ref="AK36:AK37"/>
    <mergeCell ref="F37:K37"/>
    <mergeCell ref="L37:M37"/>
    <mergeCell ref="X37:Y37"/>
    <mergeCell ref="Z37:AA37"/>
    <mergeCell ref="AB37:AC37"/>
    <mergeCell ref="AD37:AE37"/>
    <mergeCell ref="AG37:AH37"/>
    <mergeCell ref="X34:Z35"/>
    <mergeCell ref="AA34:AA35"/>
    <mergeCell ref="AB34:AD35"/>
    <mergeCell ref="AE34:AE35"/>
    <mergeCell ref="AG34:AH34"/>
    <mergeCell ref="AJ34:AK35"/>
    <mergeCell ref="AG35:AH35"/>
    <mergeCell ref="AI35:AI36"/>
    <mergeCell ref="AG36:AH36"/>
    <mergeCell ref="AJ36:AJ37"/>
    <mergeCell ref="J34:J35"/>
    <mergeCell ref="K34:K35"/>
    <mergeCell ref="L34:L35"/>
    <mergeCell ref="N34:N37"/>
    <mergeCell ref="V34:V35"/>
    <mergeCell ref="W34:W35"/>
    <mergeCell ref="F36:K36"/>
    <mergeCell ref="L36:M36"/>
    <mergeCell ref="W36:W37"/>
    <mergeCell ref="D34:D37"/>
    <mergeCell ref="E34:E37"/>
    <mergeCell ref="F34:F35"/>
    <mergeCell ref="G34:G35"/>
    <mergeCell ref="H34:H35"/>
    <mergeCell ref="I34:I35"/>
    <mergeCell ref="AK32:AK33"/>
    <mergeCell ref="F33:K33"/>
    <mergeCell ref="L33:M33"/>
    <mergeCell ref="X33:Y33"/>
    <mergeCell ref="Z33:AA33"/>
    <mergeCell ref="AB33:AC33"/>
    <mergeCell ref="AD33:AE33"/>
    <mergeCell ref="AG33:AH33"/>
    <mergeCell ref="X30:Z31"/>
    <mergeCell ref="AA30:AA31"/>
    <mergeCell ref="AB30:AD31"/>
    <mergeCell ref="AE30:AE31"/>
    <mergeCell ref="AG30:AH30"/>
    <mergeCell ref="AJ30:AK31"/>
    <mergeCell ref="AG31:AH31"/>
    <mergeCell ref="AI31:AI32"/>
    <mergeCell ref="AG32:AH32"/>
    <mergeCell ref="AJ32:AJ33"/>
    <mergeCell ref="J30:J31"/>
    <mergeCell ref="K30:K31"/>
    <mergeCell ref="L30:L31"/>
    <mergeCell ref="N30:N33"/>
    <mergeCell ref="V30:V31"/>
    <mergeCell ref="W30:W31"/>
    <mergeCell ref="F32:K32"/>
    <mergeCell ref="L32:M32"/>
    <mergeCell ref="W32:W33"/>
    <mergeCell ref="D30:D33"/>
    <mergeCell ref="E30:E33"/>
    <mergeCell ref="F30:F31"/>
    <mergeCell ref="G30:G31"/>
    <mergeCell ref="H30:H31"/>
    <mergeCell ref="I30:I31"/>
    <mergeCell ref="AK28:AK29"/>
    <mergeCell ref="F29:K29"/>
    <mergeCell ref="L29:M29"/>
    <mergeCell ref="X29:Y29"/>
    <mergeCell ref="Z29:AA29"/>
    <mergeCell ref="AB29:AC29"/>
    <mergeCell ref="AD29:AE29"/>
    <mergeCell ref="AG29:AH29"/>
    <mergeCell ref="X26:Z27"/>
    <mergeCell ref="AA26:AA27"/>
    <mergeCell ref="AB26:AD27"/>
    <mergeCell ref="AE26:AE27"/>
    <mergeCell ref="AG26:AH26"/>
    <mergeCell ref="AJ26:AK27"/>
    <mergeCell ref="AG27:AH27"/>
    <mergeCell ref="AI27:AI28"/>
    <mergeCell ref="AG28:AH28"/>
    <mergeCell ref="AJ28:AJ29"/>
    <mergeCell ref="J26:J27"/>
    <mergeCell ref="K26:K27"/>
    <mergeCell ref="L26:L27"/>
    <mergeCell ref="N26:N29"/>
    <mergeCell ref="V26:V27"/>
    <mergeCell ref="W26:W27"/>
    <mergeCell ref="F28:K28"/>
    <mergeCell ref="L28:M28"/>
    <mergeCell ref="W28:W29"/>
    <mergeCell ref="D26:D29"/>
    <mergeCell ref="E26:E29"/>
    <mergeCell ref="F26:F27"/>
    <mergeCell ref="G26:G27"/>
    <mergeCell ref="H26:H27"/>
    <mergeCell ref="I26:I27"/>
    <mergeCell ref="AK24:AK25"/>
    <mergeCell ref="F25:K25"/>
    <mergeCell ref="L25:M25"/>
    <mergeCell ref="X25:Y25"/>
    <mergeCell ref="Z25:AA25"/>
    <mergeCell ref="AB25:AC25"/>
    <mergeCell ref="AD25:AE25"/>
    <mergeCell ref="AG25:AH25"/>
    <mergeCell ref="X22:Z23"/>
    <mergeCell ref="AA22:AA23"/>
    <mergeCell ref="AB22:AD23"/>
    <mergeCell ref="AE22:AE23"/>
    <mergeCell ref="AG22:AH22"/>
    <mergeCell ref="AJ22:AK23"/>
    <mergeCell ref="AG23:AH23"/>
    <mergeCell ref="AI23:AI24"/>
    <mergeCell ref="AG24:AH24"/>
    <mergeCell ref="AJ24:AJ25"/>
    <mergeCell ref="J22:J23"/>
    <mergeCell ref="K22:K23"/>
    <mergeCell ref="L22:L23"/>
    <mergeCell ref="N22:N25"/>
    <mergeCell ref="V22:V23"/>
    <mergeCell ref="W22:W23"/>
    <mergeCell ref="F24:K24"/>
    <mergeCell ref="L24:M24"/>
    <mergeCell ref="W24:W25"/>
    <mergeCell ref="D22:D25"/>
    <mergeCell ref="E22:E25"/>
    <mergeCell ref="F22:F23"/>
    <mergeCell ref="G22:G23"/>
    <mergeCell ref="H22:H23"/>
    <mergeCell ref="I22:I23"/>
    <mergeCell ref="AK20:AK21"/>
    <mergeCell ref="F21:K21"/>
    <mergeCell ref="L21:M21"/>
    <mergeCell ref="X21:Y21"/>
    <mergeCell ref="Z21:AA21"/>
    <mergeCell ref="AB21:AC21"/>
    <mergeCell ref="AD21:AE21"/>
    <mergeCell ref="AG21:AH21"/>
    <mergeCell ref="X18:Z19"/>
    <mergeCell ref="AA18:AA19"/>
    <mergeCell ref="AB18:AD19"/>
    <mergeCell ref="AE18:AE19"/>
    <mergeCell ref="AG18:AH18"/>
    <mergeCell ref="AJ18:AK19"/>
    <mergeCell ref="AG19:AH19"/>
    <mergeCell ref="AI19:AI20"/>
    <mergeCell ref="AG20:AH20"/>
    <mergeCell ref="AJ20:AJ21"/>
    <mergeCell ref="J18:J19"/>
    <mergeCell ref="K18:K19"/>
    <mergeCell ref="L18:L19"/>
    <mergeCell ref="N18:N21"/>
    <mergeCell ref="V18:V19"/>
    <mergeCell ref="W18:W19"/>
    <mergeCell ref="F20:K20"/>
    <mergeCell ref="L20:M20"/>
    <mergeCell ref="W20:W21"/>
    <mergeCell ref="D18:D21"/>
    <mergeCell ref="E18:E21"/>
    <mergeCell ref="F18:F19"/>
    <mergeCell ref="G18:G19"/>
    <mergeCell ref="H18:H19"/>
    <mergeCell ref="I18:I19"/>
    <mergeCell ref="X17:Y17"/>
    <mergeCell ref="Z17:AA17"/>
    <mergeCell ref="AB17:AC17"/>
    <mergeCell ref="AD17:AE17"/>
    <mergeCell ref="AG17:AH17"/>
    <mergeCell ref="AA14:AA15"/>
    <mergeCell ref="AB14:AD15"/>
    <mergeCell ref="AE14:AE15"/>
    <mergeCell ref="AG14:AH14"/>
    <mergeCell ref="D14:D17"/>
    <mergeCell ref="E14:E17"/>
    <mergeCell ref="F14:F15"/>
    <mergeCell ref="G14:G15"/>
    <mergeCell ref="H14:H15"/>
    <mergeCell ref="I14:I15"/>
    <mergeCell ref="J14:J15"/>
    <mergeCell ref="AJ14:AK15"/>
    <mergeCell ref="AG15:AH15"/>
    <mergeCell ref="AI15:AI16"/>
    <mergeCell ref="AG16:AH16"/>
    <mergeCell ref="AJ16:AJ17"/>
    <mergeCell ref="AK16:AK17"/>
    <mergeCell ref="K14:K15"/>
    <mergeCell ref="L14:L15"/>
    <mergeCell ref="N14:N17"/>
    <mergeCell ref="V14:V15"/>
    <mergeCell ref="W14:W15"/>
    <mergeCell ref="X14:Z15"/>
    <mergeCell ref="F16:K16"/>
    <mergeCell ref="L16:M16"/>
    <mergeCell ref="W16:W17"/>
    <mergeCell ref="F17:K17"/>
    <mergeCell ref="L17:M17"/>
    <mergeCell ref="AG12:AH12"/>
    <mergeCell ref="AJ12:AK12"/>
    <mergeCell ref="Y11:Y12"/>
    <mergeCell ref="Z11:Z12"/>
    <mergeCell ref="AA11:AA12"/>
    <mergeCell ref="AB11:AB12"/>
    <mergeCell ref="AC11:AC12"/>
    <mergeCell ref="AD11:AD12"/>
    <mergeCell ref="X13:AA13"/>
    <mergeCell ref="AB13:AE13"/>
    <mergeCell ref="AG13:AI13"/>
    <mergeCell ref="AB9:AE9"/>
    <mergeCell ref="AG9:AI9"/>
    <mergeCell ref="AJ9:AK10"/>
    <mergeCell ref="AL9:AL13"/>
    <mergeCell ref="F10:K10"/>
    <mergeCell ref="L10:M10"/>
    <mergeCell ref="N10:N11"/>
    <mergeCell ref="O10:V10"/>
    <mergeCell ref="W10:W11"/>
    <mergeCell ref="X10:Z10"/>
    <mergeCell ref="AB10:AD10"/>
    <mergeCell ref="AG10:AH10"/>
    <mergeCell ref="L11:L12"/>
    <mergeCell ref="O11:O13"/>
    <mergeCell ref="Q11:Q12"/>
    <mergeCell ref="R11:R12"/>
    <mergeCell ref="S11:S12"/>
    <mergeCell ref="U11:U12"/>
    <mergeCell ref="X11:X12"/>
    <mergeCell ref="AE11:AE12"/>
    <mergeCell ref="AG11:AH11"/>
    <mergeCell ref="AI11:AI12"/>
    <mergeCell ref="AJ11:AK11"/>
    <mergeCell ref="F12:K12"/>
    <mergeCell ref="N6:O6"/>
    <mergeCell ref="N7:O7"/>
    <mergeCell ref="D9:D13"/>
    <mergeCell ref="E9:E13"/>
    <mergeCell ref="F9:K9"/>
    <mergeCell ref="L9:N9"/>
    <mergeCell ref="O9:W9"/>
    <mergeCell ref="F13:K13"/>
    <mergeCell ref="X9:AA9"/>
  </mergeCells>
  <phoneticPr fontId="3"/>
  <dataValidations count="19">
    <dataValidation type="list" errorStyle="information" allowBlank="1" showInputMessage="1" showErrorMessage="1" error="形式の入力が完了しました。" sqref="L14 L62 L54 L18 L58 L42 L22 L26 L30 L34 L38 L50 L46">
      <formula1>"油入自冷,モ－ルド絶縁,発電機"</formula1>
    </dataValidation>
    <dataValidation type="decimal" errorStyle="information" allowBlank="1" showErrorMessage="1" errorTitle="Ｄｅｍａｎｄ　ｆａｃｔｏｒ　ｏｆ　ｌｏａｄ" error="Ｐｌｅａｓｅ　ｉｎｐｕｔ　ｔｈｅ　ｖａｌｕｅ　ｂｅｔｗｅｅｎ　０．０００００１　ａｎｄ　１．００" sqref="T14:T65">
      <formula1>0.01</formula1>
      <formula2>1</formula2>
    </dataValidation>
    <dataValidation type="decimal" errorStyle="information" allowBlank="1" showErrorMessage="1" errorTitle="Ｐｏｗｅｒ　ｆａｃｔｏｒ　ｏｆ　ｌｏａｄ" error="Ｐｌｅａｓｅ　ｉｎｐｕｔ　ｔｈｅ　ｖａｌｕｅ　ｂｅｔｗｅｅｎ　０．０１　ａｎｄ　１．００" sqref="R14:R65">
      <formula1>0.01</formula1>
      <formula2>1</formula2>
    </dataValidation>
    <dataValidation type="decimal" errorStyle="information" allowBlank="1" showErrorMessage="1" errorTitle="Ｅｆｆｉｃｉｅｎｃｙ　ｏｆ　ｌｏａｄ" error="Ｐｌｅａｓｅ　ｉｎｐｕｔ　ｔｈｅ　ｖａｌｕｅ　ｂｅｔｗｅｅｎ　０　ａｎｄ　１" sqref="Q14:Q65">
      <formula1>0</formula1>
      <formula2>1</formula2>
    </dataValidation>
    <dataValidation type="decimal" errorStyle="information" allowBlank="1" showErrorMessage="1" errorTitle="Ｔｅｍｐｅｒａｔｕｒｅ　ｔｏ　ｃａｌｃｕｌａｔｅ" error="Ｐｌｅａｓｅ　ｉｎｐｕｔ　ｔｈｅ　ｖａｌｕｅ　ｂｅｔｗｅｅｎ　-100[℃]　ａｎｄ　+300[℃]" sqref="F17:K17 F65:K65 F57:K57 F21:K21 F61:K61 F45:K45 F25:K25 F29:K29 F33:K33 F37:K37 F41:K41 F53:K53 F49:K49">
      <formula1>-100</formula1>
      <formula2>300</formula2>
    </dataValidation>
    <dataValidation type="list" errorStyle="information" showErrorMessage="1" errorTitle="Ｎａｍｅ　ｏｆ　ａ　ＢＲＥＡＫＥＲ" error="Ｔｈｅ　ｎａｍｅ　ｏｆ　ａ　ｂｒｅａｋｅｒ　ｗａｓ　ｉｎｐｕｔｔｅｄ．" sqref="AJ14 AJ46 AJ62 AJ58 AJ18 AJ54 AJ22 AJ26 AJ30 AJ34 AJ38 AJ50 AJ42">
      <formula1>"MCCB-2P,MCCB-3P,MCCB-4P,ELB-2P,ELB-3P,ELB-4P,ACB-3P"</formula1>
    </dataValidation>
    <dataValidation type="list" allowBlank="1" showErrorMessage="1" errorTitle="Ｉｎｐｕｔ　ｏｆ　ｅｌｅｃｔｒｉｃ　ｓｙｓｔｅｍ" error="Ｔｈｅ　ｉｎｐｕｔｔｅｄ　ｖａｌｕｅ　ｉｓ　ｎｏｔ　ｒｉｇｈｔ．_x000a_Ｔｈｅ　ｖａｌｕｅ　ｗｈｉｃｈ　ｃａｎ　ｂｅ　ｉｎｐｕｔｔｅｄ　ｉｎｔｏ　ａ　ｃｅｌｌ　ｉｓ　ｒｅｓｔｒｉｃｔｅｄ　ｂｙ　ｓｅｔｕｐ　ｏｆ　ａ user.　" sqref="H14:H15 H62:H63 H54:H55 H18:H19 H58:H59 H42:H43 H22:H23 H26:H27 H30:H31 H34:H35 H38:H39 H50:H51 H46:H47">
      <formula1>"3,4"</formula1>
    </dataValidation>
    <dataValidation type="list" allowBlank="1" showErrorMessage="1" errorTitle="Ｉｎｐｕｔ　ｏｆ　ｅｌｅｃｔｒｉｃ　ｓｙｓｔｅｍ" error="Ｔｈｅ　ｉｎｐｕｔｔｅｄ　ｖａｌｕｅ　ｉｓ　ｎｏｔ　ｒｉｇｈｔ．_x000a_Ｔｈｅ　ｖａｌｕｅ　ｗｈｉｃｈ　ｃａｎ　ｂｅ　ｉｎｐｕｔｔｅｄ　ｉｎｔｏ　ａ　ｃｅｌｌ　ｉｓ　ｒｅｓｔｒｉｃｔｅｄ　ｂｙ　ｓｅｔｕｐ　ｏｆ　ａ user.　" sqref="F14:F15 F62:F63 F54:F55 F18:F19 F58:F59 F42:F43 F22:F23 F26:F27 F30:F31 F34:F35 F38:F39 F50:F51 F46:F47">
      <formula1>"1,3"</formula1>
    </dataValidation>
    <dataValidation type="list" errorStyle="warning" allowBlank="1" showInputMessage="1" showErrorMessage="1" errorTitle="公称断面値" error="公称断面値が、入力されました。_x000a_DATA　Ｔａｂｌｅ に、このケ－ブルの Ｒ，Ｘを_x000a_入力してください。（５０ Ｈｚ ＤＡＴＡ）" sqref="X16 X60 AB56 AB16 AB60 X64 AB64 AB20 X56 X20 AB52 AB44 X36 X52 X40 X32 AB32 X44 X48 X24 X28 AB36 AB24 AB28 AB48 AB40">
      <formula1>"2.0,3.5,5.5,8,14,22,38,50,60,100,150,200,250,325,400,500,600"</formula1>
    </dataValidation>
    <dataValidation type="list" errorStyle="information" sqref="O14:O65">
      <formula1>$B$18:$B$43</formula1>
    </dataValidation>
    <dataValidation type="list" errorStyle="information" sqref="AB18 X58 AB58 AB54 X54 AB22 AB50 AB62 X18 X14 AB14 X62 X30 X26 X50 X38 AB26 X34 X22 X42 AB46 AB42 AB34 AB30 X46 AB38">
      <formula1>"600V IV,600V CV-1C,600V CV-2C,600V CV-3C,600V CV-4C,600V CV-T"</formula1>
    </dataValidation>
    <dataValidation type="custom" errorStyle="warning" allowBlank="1" showInputMessage="1" showErrorMessage="1" errorTitle="ＴＲＩＰ値" error="トリップ値 が、大きすぎます。" sqref="AK52 AK60 AK16 AK64 AK56 AK20 AK48 AK24 AK28 AK32 AK36 AK40 AK44">
      <formula1>IF(AK16&lt;=AJ16,TRUE,FALSE)</formula1>
    </dataValidation>
    <dataValidation type="list" errorStyle="information" allowBlank="1" showErrorMessage="1" errorTitle="Ｆｒａｍｅ　ｖａｌｕｅ" error="Ｔｈｅ　ｆｒａｍｅ　ｖａｌｕｅ　ｗａｓ　ｉｎｐｕｔｔｅｄ　ｂｙ　ｕｓｅｒ" sqref="AJ48 AJ16 AJ64 AJ60 AJ20 AJ56 AJ24 AJ28 AJ32 AJ36 AJ40 AJ52 AJ44">
      <formula1>"30,50,60,100,225,250,400,600,800,1000,1200,1600,2000,2500,3000,3200,4000,,630,1250,5000,6300"</formula1>
    </dataValidation>
    <dataValidation type="list" errorStyle="information" allowBlank="1" showErrorMessage="1" errorTitle="Ｉｎｐｕｔ　ｏｆ　Ｆｒｅｑｕｅｎｃｙ" error="Ｖａｉｕｅｓ　ｏｔｈｅｒ　ｔｈａｎ　５０［Ｈｚ］ ｏｒ ６０［Ｈｚ］ ｗｅｒｅ ｉｎｐｕｔｔｅｄ．_x000a_Ｄｏｅｓ　ｉｔ　ｃｏｎｔｉｎｕｅ？" sqref="F16 F60 F64 F44 F20 F56 F24 F28 F32 F36 F40 F52 F48">
      <formula1>"50,60"</formula1>
    </dataValidation>
    <dataValidation type="textLength" operator="equal" showErrorMessage="1" errorTitle="電圧降下計算-3" error="このセルは自動計算用のセルです。_x000a_このセルを変更しないで下さい。_x000a__x000a_キャンセルを押して下さい。" sqref="AM45 AM29 AM49 AM61 AM65 AM57 AM25 AM53 AM33 AM37 AM41 AM17">
      <formula1>0</formula1>
    </dataValidation>
    <dataValidation type="whole" errorStyle="information" showInputMessage="1" showErrorMessage="1" errorTitle="変圧器容量" error="最大 ９９９９９ ［ＫＶＡ］ まで、入力できます。" sqref="L56 L60 L16 L64 L20 L28 L44 L40 L36 L24 L32 L52 L48">
      <formula1>0</formula1>
      <formula2>99999</formula2>
    </dataValidation>
    <dataValidation type="decimal" errorStyle="information" allowBlank="1" showInputMessage="1" showErrorMessage="1" errorTitle="電動機の始動階級" error="０ ～ ＋１００ の範囲の値を入力して下さい。" sqref="AD53 AI65 AI21 AD65 AI61 Z57 AD21 AI57 AD57 AD61 AD17 Z21 Z17 Z61 AI29 AI53 Z65 AI17 AD33 AD37 AD41 Z37 AD25 Z41 Z25 AD45 AD29 Z53 Z29 AI33 Z33 AI45 AI37 Z45 AI41 AI25 AD49 AI49 Z49">
      <formula1>0</formula1>
      <formula2>100</formula2>
    </dataValidation>
    <dataValidation type="list" errorStyle="information" sqref="AA54 AE58 AE54 AE14 AE50 AE62 AA62 AA58 AA14 AA50 AE18 AA18 AE38 AE34 AE26 AE30 AA30 AA34 AA42 AE22 AA22 AA38 AE42 AA26 AA46 AE46">
      <formula1>$B$48:$B$59</formula1>
    </dataValidation>
    <dataValidation type="decimal" errorStyle="warning" allowBlank="1" showInputMessage="1" showErrorMessage="1" errorTitle="構内ケ－ブルの導体温度" error="－１００［℃］ ～ ＋３００［℃］ の範囲の値を入力してください。" sqref="AG55:AG56 AG19:AG20 AG59:AG60 AG63:AG64 AG15:AG16 AG51:AG52 AG35:AG36 AG23:AG24 AG31:AG32 AG39:AG40 AG27:AG28 AG43:AG44 AG47:AG48">
      <formula1>-100</formula1>
      <formula2>300</formula2>
    </dataValidation>
  </dataValidations>
  <pageMargins left="0.47244094488188981" right="0.47244094488188981" top="0.78740157480314965" bottom="0.19685039370078741" header="0" footer="0"/>
  <pageSetup paperSize="9" scale="5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55"/>
  <sheetViews>
    <sheetView topLeftCell="A7" zoomScale="85" zoomScaleNormal="85" workbookViewId="0"/>
  </sheetViews>
  <sheetFormatPr defaultRowHeight="13.5" x14ac:dyDescent="0.15"/>
  <cols>
    <col min="1" max="1" width="1.125" style="63" customWidth="1"/>
    <col min="2" max="2" width="6.125" style="63" customWidth="1"/>
    <col min="3" max="5" width="8.625" style="63" customWidth="1"/>
    <col min="6" max="6" width="1.125" style="63" customWidth="1"/>
    <col min="7" max="7" width="6.125" style="63" customWidth="1"/>
    <col min="8" max="10" width="8.625" style="63" customWidth="1"/>
    <col min="11" max="11" width="1.125" style="63" customWidth="1"/>
    <col min="12" max="12" width="6.125" style="63" customWidth="1"/>
    <col min="13" max="15" width="8.625" style="63" customWidth="1"/>
    <col min="16" max="16" width="1.125" style="63" customWidth="1"/>
    <col min="17" max="17" width="6.125" style="63" customWidth="1"/>
    <col min="18" max="20" width="8.625" style="63" customWidth="1"/>
    <col min="21" max="21" width="1.125" style="63" customWidth="1"/>
    <col min="22" max="22" width="6.125" style="63" customWidth="1"/>
    <col min="23" max="24" width="8.625" style="63" customWidth="1"/>
    <col min="25" max="25" width="1.125" style="63" customWidth="1"/>
    <col min="26" max="26" width="6.125" style="63" customWidth="1"/>
    <col min="27" max="28" width="8.625" style="63" customWidth="1"/>
    <col min="29" max="29" width="1.125" style="63" customWidth="1"/>
    <col min="30" max="256" width="9" style="63"/>
    <col min="257" max="257" width="1.125" style="63" customWidth="1"/>
    <col min="258" max="258" width="6.125" style="63" customWidth="1"/>
    <col min="259" max="261" width="8.625" style="63" customWidth="1"/>
    <col min="262" max="262" width="1.125" style="63" customWidth="1"/>
    <col min="263" max="263" width="6.125" style="63" customWidth="1"/>
    <col min="264" max="266" width="8.625" style="63" customWidth="1"/>
    <col min="267" max="267" width="1.125" style="63" customWidth="1"/>
    <col min="268" max="268" width="6.125" style="63" customWidth="1"/>
    <col min="269" max="271" width="8.625" style="63" customWidth="1"/>
    <col min="272" max="272" width="1.125" style="63" customWidth="1"/>
    <col min="273" max="273" width="6.125" style="63" customWidth="1"/>
    <col min="274" max="276" width="8.625" style="63" customWidth="1"/>
    <col min="277" max="277" width="1.125" style="63" customWidth="1"/>
    <col min="278" max="278" width="6.125" style="63" customWidth="1"/>
    <col min="279" max="280" width="8.625" style="63" customWidth="1"/>
    <col min="281" max="281" width="1.125" style="63" customWidth="1"/>
    <col min="282" max="282" width="6.125" style="63" customWidth="1"/>
    <col min="283" max="284" width="8.625" style="63" customWidth="1"/>
    <col min="285" max="285" width="1.125" style="63" customWidth="1"/>
    <col min="286" max="512" width="9" style="63"/>
    <col min="513" max="513" width="1.125" style="63" customWidth="1"/>
    <col min="514" max="514" width="6.125" style="63" customWidth="1"/>
    <col min="515" max="517" width="8.625" style="63" customWidth="1"/>
    <col min="518" max="518" width="1.125" style="63" customWidth="1"/>
    <col min="519" max="519" width="6.125" style="63" customWidth="1"/>
    <col min="520" max="522" width="8.625" style="63" customWidth="1"/>
    <col min="523" max="523" width="1.125" style="63" customWidth="1"/>
    <col min="524" max="524" width="6.125" style="63" customWidth="1"/>
    <col min="525" max="527" width="8.625" style="63" customWidth="1"/>
    <col min="528" max="528" width="1.125" style="63" customWidth="1"/>
    <col min="529" max="529" width="6.125" style="63" customWidth="1"/>
    <col min="530" max="532" width="8.625" style="63" customWidth="1"/>
    <col min="533" max="533" width="1.125" style="63" customWidth="1"/>
    <col min="534" max="534" width="6.125" style="63" customWidth="1"/>
    <col min="535" max="536" width="8.625" style="63" customWidth="1"/>
    <col min="537" max="537" width="1.125" style="63" customWidth="1"/>
    <col min="538" max="538" width="6.125" style="63" customWidth="1"/>
    <col min="539" max="540" width="8.625" style="63" customWidth="1"/>
    <col min="541" max="541" width="1.125" style="63" customWidth="1"/>
    <col min="542" max="768" width="9" style="63"/>
    <col min="769" max="769" width="1.125" style="63" customWidth="1"/>
    <col min="770" max="770" width="6.125" style="63" customWidth="1"/>
    <col min="771" max="773" width="8.625" style="63" customWidth="1"/>
    <col min="774" max="774" width="1.125" style="63" customWidth="1"/>
    <col min="775" max="775" width="6.125" style="63" customWidth="1"/>
    <col min="776" max="778" width="8.625" style="63" customWidth="1"/>
    <col min="779" max="779" width="1.125" style="63" customWidth="1"/>
    <col min="780" max="780" width="6.125" style="63" customWidth="1"/>
    <col min="781" max="783" width="8.625" style="63" customWidth="1"/>
    <col min="784" max="784" width="1.125" style="63" customWidth="1"/>
    <col min="785" max="785" width="6.125" style="63" customWidth="1"/>
    <col min="786" max="788" width="8.625" style="63" customWidth="1"/>
    <col min="789" max="789" width="1.125" style="63" customWidth="1"/>
    <col min="790" max="790" width="6.125" style="63" customWidth="1"/>
    <col min="791" max="792" width="8.625" style="63" customWidth="1"/>
    <col min="793" max="793" width="1.125" style="63" customWidth="1"/>
    <col min="794" max="794" width="6.125" style="63" customWidth="1"/>
    <col min="795" max="796" width="8.625" style="63" customWidth="1"/>
    <col min="797" max="797" width="1.125" style="63" customWidth="1"/>
    <col min="798" max="1024" width="9" style="63"/>
    <col min="1025" max="1025" width="1.125" style="63" customWidth="1"/>
    <col min="1026" max="1026" width="6.125" style="63" customWidth="1"/>
    <col min="1027" max="1029" width="8.625" style="63" customWidth="1"/>
    <col min="1030" max="1030" width="1.125" style="63" customWidth="1"/>
    <col min="1031" max="1031" width="6.125" style="63" customWidth="1"/>
    <col min="1032" max="1034" width="8.625" style="63" customWidth="1"/>
    <col min="1035" max="1035" width="1.125" style="63" customWidth="1"/>
    <col min="1036" max="1036" width="6.125" style="63" customWidth="1"/>
    <col min="1037" max="1039" width="8.625" style="63" customWidth="1"/>
    <col min="1040" max="1040" width="1.125" style="63" customWidth="1"/>
    <col min="1041" max="1041" width="6.125" style="63" customWidth="1"/>
    <col min="1042" max="1044" width="8.625" style="63" customWidth="1"/>
    <col min="1045" max="1045" width="1.125" style="63" customWidth="1"/>
    <col min="1046" max="1046" width="6.125" style="63" customWidth="1"/>
    <col min="1047" max="1048" width="8.625" style="63" customWidth="1"/>
    <col min="1049" max="1049" width="1.125" style="63" customWidth="1"/>
    <col min="1050" max="1050" width="6.125" style="63" customWidth="1"/>
    <col min="1051" max="1052" width="8.625" style="63" customWidth="1"/>
    <col min="1053" max="1053" width="1.125" style="63" customWidth="1"/>
    <col min="1054" max="1280" width="9" style="63"/>
    <col min="1281" max="1281" width="1.125" style="63" customWidth="1"/>
    <col min="1282" max="1282" width="6.125" style="63" customWidth="1"/>
    <col min="1283" max="1285" width="8.625" style="63" customWidth="1"/>
    <col min="1286" max="1286" width="1.125" style="63" customWidth="1"/>
    <col min="1287" max="1287" width="6.125" style="63" customWidth="1"/>
    <col min="1288" max="1290" width="8.625" style="63" customWidth="1"/>
    <col min="1291" max="1291" width="1.125" style="63" customWidth="1"/>
    <col min="1292" max="1292" width="6.125" style="63" customWidth="1"/>
    <col min="1293" max="1295" width="8.625" style="63" customWidth="1"/>
    <col min="1296" max="1296" width="1.125" style="63" customWidth="1"/>
    <col min="1297" max="1297" width="6.125" style="63" customWidth="1"/>
    <col min="1298" max="1300" width="8.625" style="63" customWidth="1"/>
    <col min="1301" max="1301" width="1.125" style="63" customWidth="1"/>
    <col min="1302" max="1302" width="6.125" style="63" customWidth="1"/>
    <col min="1303" max="1304" width="8.625" style="63" customWidth="1"/>
    <col min="1305" max="1305" width="1.125" style="63" customWidth="1"/>
    <col min="1306" max="1306" width="6.125" style="63" customWidth="1"/>
    <col min="1307" max="1308" width="8.625" style="63" customWidth="1"/>
    <col min="1309" max="1309" width="1.125" style="63" customWidth="1"/>
    <col min="1310" max="1536" width="9" style="63"/>
    <col min="1537" max="1537" width="1.125" style="63" customWidth="1"/>
    <col min="1538" max="1538" width="6.125" style="63" customWidth="1"/>
    <col min="1539" max="1541" width="8.625" style="63" customWidth="1"/>
    <col min="1542" max="1542" width="1.125" style="63" customWidth="1"/>
    <col min="1543" max="1543" width="6.125" style="63" customWidth="1"/>
    <col min="1544" max="1546" width="8.625" style="63" customWidth="1"/>
    <col min="1547" max="1547" width="1.125" style="63" customWidth="1"/>
    <col min="1548" max="1548" width="6.125" style="63" customWidth="1"/>
    <col min="1549" max="1551" width="8.625" style="63" customWidth="1"/>
    <col min="1552" max="1552" width="1.125" style="63" customWidth="1"/>
    <col min="1553" max="1553" width="6.125" style="63" customWidth="1"/>
    <col min="1554" max="1556" width="8.625" style="63" customWidth="1"/>
    <col min="1557" max="1557" width="1.125" style="63" customWidth="1"/>
    <col min="1558" max="1558" width="6.125" style="63" customWidth="1"/>
    <col min="1559" max="1560" width="8.625" style="63" customWidth="1"/>
    <col min="1561" max="1561" width="1.125" style="63" customWidth="1"/>
    <col min="1562" max="1562" width="6.125" style="63" customWidth="1"/>
    <col min="1563" max="1564" width="8.625" style="63" customWidth="1"/>
    <col min="1565" max="1565" width="1.125" style="63" customWidth="1"/>
    <col min="1566" max="1792" width="9" style="63"/>
    <col min="1793" max="1793" width="1.125" style="63" customWidth="1"/>
    <col min="1794" max="1794" width="6.125" style="63" customWidth="1"/>
    <col min="1795" max="1797" width="8.625" style="63" customWidth="1"/>
    <col min="1798" max="1798" width="1.125" style="63" customWidth="1"/>
    <col min="1799" max="1799" width="6.125" style="63" customWidth="1"/>
    <col min="1800" max="1802" width="8.625" style="63" customWidth="1"/>
    <col min="1803" max="1803" width="1.125" style="63" customWidth="1"/>
    <col min="1804" max="1804" width="6.125" style="63" customWidth="1"/>
    <col min="1805" max="1807" width="8.625" style="63" customWidth="1"/>
    <col min="1808" max="1808" width="1.125" style="63" customWidth="1"/>
    <col min="1809" max="1809" width="6.125" style="63" customWidth="1"/>
    <col min="1810" max="1812" width="8.625" style="63" customWidth="1"/>
    <col min="1813" max="1813" width="1.125" style="63" customWidth="1"/>
    <col min="1814" max="1814" width="6.125" style="63" customWidth="1"/>
    <col min="1815" max="1816" width="8.625" style="63" customWidth="1"/>
    <col min="1817" max="1817" width="1.125" style="63" customWidth="1"/>
    <col min="1818" max="1818" width="6.125" style="63" customWidth="1"/>
    <col min="1819" max="1820" width="8.625" style="63" customWidth="1"/>
    <col min="1821" max="1821" width="1.125" style="63" customWidth="1"/>
    <col min="1822" max="2048" width="9" style="63"/>
    <col min="2049" max="2049" width="1.125" style="63" customWidth="1"/>
    <col min="2050" max="2050" width="6.125" style="63" customWidth="1"/>
    <col min="2051" max="2053" width="8.625" style="63" customWidth="1"/>
    <col min="2054" max="2054" width="1.125" style="63" customWidth="1"/>
    <col min="2055" max="2055" width="6.125" style="63" customWidth="1"/>
    <col min="2056" max="2058" width="8.625" style="63" customWidth="1"/>
    <col min="2059" max="2059" width="1.125" style="63" customWidth="1"/>
    <col min="2060" max="2060" width="6.125" style="63" customWidth="1"/>
    <col min="2061" max="2063" width="8.625" style="63" customWidth="1"/>
    <col min="2064" max="2064" width="1.125" style="63" customWidth="1"/>
    <col min="2065" max="2065" width="6.125" style="63" customWidth="1"/>
    <col min="2066" max="2068" width="8.625" style="63" customWidth="1"/>
    <col min="2069" max="2069" width="1.125" style="63" customWidth="1"/>
    <col min="2070" max="2070" width="6.125" style="63" customWidth="1"/>
    <col min="2071" max="2072" width="8.625" style="63" customWidth="1"/>
    <col min="2073" max="2073" width="1.125" style="63" customWidth="1"/>
    <col min="2074" max="2074" width="6.125" style="63" customWidth="1"/>
    <col min="2075" max="2076" width="8.625" style="63" customWidth="1"/>
    <col min="2077" max="2077" width="1.125" style="63" customWidth="1"/>
    <col min="2078" max="2304" width="9" style="63"/>
    <col min="2305" max="2305" width="1.125" style="63" customWidth="1"/>
    <col min="2306" max="2306" width="6.125" style="63" customWidth="1"/>
    <col min="2307" max="2309" width="8.625" style="63" customWidth="1"/>
    <col min="2310" max="2310" width="1.125" style="63" customWidth="1"/>
    <col min="2311" max="2311" width="6.125" style="63" customWidth="1"/>
    <col min="2312" max="2314" width="8.625" style="63" customWidth="1"/>
    <col min="2315" max="2315" width="1.125" style="63" customWidth="1"/>
    <col min="2316" max="2316" width="6.125" style="63" customWidth="1"/>
    <col min="2317" max="2319" width="8.625" style="63" customWidth="1"/>
    <col min="2320" max="2320" width="1.125" style="63" customWidth="1"/>
    <col min="2321" max="2321" width="6.125" style="63" customWidth="1"/>
    <col min="2322" max="2324" width="8.625" style="63" customWidth="1"/>
    <col min="2325" max="2325" width="1.125" style="63" customWidth="1"/>
    <col min="2326" max="2326" width="6.125" style="63" customWidth="1"/>
    <col min="2327" max="2328" width="8.625" style="63" customWidth="1"/>
    <col min="2329" max="2329" width="1.125" style="63" customWidth="1"/>
    <col min="2330" max="2330" width="6.125" style="63" customWidth="1"/>
    <col min="2331" max="2332" width="8.625" style="63" customWidth="1"/>
    <col min="2333" max="2333" width="1.125" style="63" customWidth="1"/>
    <col min="2334" max="2560" width="9" style="63"/>
    <col min="2561" max="2561" width="1.125" style="63" customWidth="1"/>
    <col min="2562" max="2562" width="6.125" style="63" customWidth="1"/>
    <col min="2563" max="2565" width="8.625" style="63" customWidth="1"/>
    <col min="2566" max="2566" width="1.125" style="63" customWidth="1"/>
    <col min="2567" max="2567" width="6.125" style="63" customWidth="1"/>
    <col min="2568" max="2570" width="8.625" style="63" customWidth="1"/>
    <col min="2571" max="2571" width="1.125" style="63" customWidth="1"/>
    <col min="2572" max="2572" width="6.125" style="63" customWidth="1"/>
    <col min="2573" max="2575" width="8.625" style="63" customWidth="1"/>
    <col min="2576" max="2576" width="1.125" style="63" customWidth="1"/>
    <col min="2577" max="2577" width="6.125" style="63" customWidth="1"/>
    <col min="2578" max="2580" width="8.625" style="63" customWidth="1"/>
    <col min="2581" max="2581" width="1.125" style="63" customWidth="1"/>
    <col min="2582" max="2582" width="6.125" style="63" customWidth="1"/>
    <col min="2583" max="2584" width="8.625" style="63" customWidth="1"/>
    <col min="2585" max="2585" width="1.125" style="63" customWidth="1"/>
    <col min="2586" max="2586" width="6.125" style="63" customWidth="1"/>
    <col min="2587" max="2588" width="8.625" style="63" customWidth="1"/>
    <col min="2589" max="2589" width="1.125" style="63" customWidth="1"/>
    <col min="2590" max="2816" width="9" style="63"/>
    <col min="2817" max="2817" width="1.125" style="63" customWidth="1"/>
    <col min="2818" max="2818" width="6.125" style="63" customWidth="1"/>
    <col min="2819" max="2821" width="8.625" style="63" customWidth="1"/>
    <col min="2822" max="2822" width="1.125" style="63" customWidth="1"/>
    <col min="2823" max="2823" width="6.125" style="63" customWidth="1"/>
    <col min="2824" max="2826" width="8.625" style="63" customWidth="1"/>
    <col min="2827" max="2827" width="1.125" style="63" customWidth="1"/>
    <col min="2828" max="2828" width="6.125" style="63" customWidth="1"/>
    <col min="2829" max="2831" width="8.625" style="63" customWidth="1"/>
    <col min="2832" max="2832" width="1.125" style="63" customWidth="1"/>
    <col min="2833" max="2833" width="6.125" style="63" customWidth="1"/>
    <col min="2834" max="2836" width="8.625" style="63" customWidth="1"/>
    <col min="2837" max="2837" width="1.125" style="63" customWidth="1"/>
    <col min="2838" max="2838" width="6.125" style="63" customWidth="1"/>
    <col min="2839" max="2840" width="8.625" style="63" customWidth="1"/>
    <col min="2841" max="2841" width="1.125" style="63" customWidth="1"/>
    <col min="2842" max="2842" width="6.125" style="63" customWidth="1"/>
    <col min="2843" max="2844" width="8.625" style="63" customWidth="1"/>
    <col min="2845" max="2845" width="1.125" style="63" customWidth="1"/>
    <col min="2846" max="3072" width="9" style="63"/>
    <col min="3073" max="3073" width="1.125" style="63" customWidth="1"/>
    <col min="3074" max="3074" width="6.125" style="63" customWidth="1"/>
    <col min="3075" max="3077" width="8.625" style="63" customWidth="1"/>
    <col min="3078" max="3078" width="1.125" style="63" customWidth="1"/>
    <col min="3079" max="3079" width="6.125" style="63" customWidth="1"/>
    <col min="3080" max="3082" width="8.625" style="63" customWidth="1"/>
    <col min="3083" max="3083" width="1.125" style="63" customWidth="1"/>
    <col min="3084" max="3084" width="6.125" style="63" customWidth="1"/>
    <col min="3085" max="3087" width="8.625" style="63" customWidth="1"/>
    <col min="3088" max="3088" width="1.125" style="63" customWidth="1"/>
    <col min="3089" max="3089" width="6.125" style="63" customWidth="1"/>
    <col min="3090" max="3092" width="8.625" style="63" customWidth="1"/>
    <col min="3093" max="3093" width="1.125" style="63" customWidth="1"/>
    <col min="3094" max="3094" width="6.125" style="63" customWidth="1"/>
    <col min="3095" max="3096" width="8.625" style="63" customWidth="1"/>
    <col min="3097" max="3097" width="1.125" style="63" customWidth="1"/>
    <col min="3098" max="3098" width="6.125" style="63" customWidth="1"/>
    <col min="3099" max="3100" width="8.625" style="63" customWidth="1"/>
    <col min="3101" max="3101" width="1.125" style="63" customWidth="1"/>
    <col min="3102" max="3328" width="9" style="63"/>
    <col min="3329" max="3329" width="1.125" style="63" customWidth="1"/>
    <col min="3330" max="3330" width="6.125" style="63" customWidth="1"/>
    <col min="3331" max="3333" width="8.625" style="63" customWidth="1"/>
    <col min="3334" max="3334" width="1.125" style="63" customWidth="1"/>
    <col min="3335" max="3335" width="6.125" style="63" customWidth="1"/>
    <col min="3336" max="3338" width="8.625" style="63" customWidth="1"/>
    <col min="3339" max="3339" width="1.125" style="63" customWidth="1"/>
    <col min="3340" max="3340" width="6.125" style="63" customWidth="1"/>
    <col min="3341" max="3343" width="8.625" style="63" customWidth="1"/>
    <col min="3344" max="3344" width="1.125" style="63" customWidth="1"/>
    <col min="3345" max="3345" width="6.125" style="63" customWidth="1"/>
    <col min="3346" max="3348" width="8.625" style="63" customWidth="1"/>
    <col min="3349" max="3349" width="1.125" style="63" customWidth="1"/>
    <col min="3350" max="3350" width="6.125" style="63" customWidth="1"/>
    <col min="3351" max="3352" width="8.625" style="63" customWidth="1"/>
    <col min="3353" max="3353" width="1.125" style="63" customWidth="1"/>
    <col min="3354" max="3354" width="6.125" style="63" customWidth="1"/>
    <col min="3355" max="3356" width="8.625" style="63" customWidth="1"/>
    <col min="3357" max="3357" width="1.125" style="63" customWidth="1"/>
    <col min="3358" max="3584" width="9" style="63"/>
    <col min="3585" max="3585" width="1.125" style="63" customWidth="1"/>
    <col min="3586" max="3586" width="6.125" style="63" customWidth="1"/>
    <col min="3587" max="3589" width="8.625" style="63" customWidth="1"/>
    <col min="3590" max="3590" width="1.125" style="63" customWidth="1"/>
    <col min="3591" max="3591" width="6.125" style="63" customWidth="1"/>
    <col min="3592" max="3594" width="8.625" style="63" customWidth="1"/>
    <col min="3595" max="3595" width="1.125" style="63" customWidth="1"/>
    <col min="3596" max="3596" width="6.125" style="63" customWidth="1"/>
    <col min="3597" max="3599" width="8.625" style="63" customWidth="1"/>
    <col min="3600" max="3600" width="1.125" style="63" customWidth="1"/>
    <col min="3601" max="3601" width="6.125" style="63" customWidth="1"/>
    <col min="3602" max="3604" width="8.625" style="63" customWidth="1"/>
    <col min="3605" max="3605" width="1.125" style="63" customWidth="1"/>
    <col min="3606" max="3606" width="6.125" style="63" customWidth="1"/>
    <col min="3607" max="3608" width="8.625" style="63" customWidth="1"/>
    <col min="3609" max="3609" width="1.125" style="63" customWidth="1"/>
    <col min="3610" max="3610" width="6.125" style="63" customWidth="1"/>
    <col min="3611" max="3612" width="8.625" style="63" customWidth="1"/>
    <col min="3613" max="3613" width="1.125" style="63" customWidth="1"/>
    <col min="3614" max="3840" width="9" style="63"/>
    <col min="3841" max="3841" width="1.125" style="63" customWidth="1"/>
    <col min="3842" max="3842" width="6.125" style="63" customWidth="1"/>
    <col min="3843" max="3845" width="8.625" style="63" customWidth="1"/>
    <col min="3846" max="3846" width="1.125" style="63" customWidth="1"/>
    <col min="3847" max="3847" width="6.125" style="63" customWidth="1"/>
    <col min="3848" max="3850" width="8.625" style="63" customWidth="1"/>
    <col min="3851" max="3851" width="1.125" style="63" customWidth="1"/>
    <col min="3852" max="3852" width="6.125" style="63" customWidth="1"/>
    <col min="3853" max="3855" width="8.625" style="63" customWidth="1"/>
    <col min="3856" max="3856" width="1.125" style="63" customWidth="1"/>
    <col min="3857" max="3857" width="6.125" style="63" customWidth="1"/>
    <col min="3858" max="3860" width="8.625" style="63" customWidth="1"/>
    <col min="3861" max="3861" width="1.125" style="63" customWidth="1"/>
    <col min="3862" max="3862" width="6.125" style="63" customWidth="1"/>
    <col min="3863" max="3864" width="8.625" style="63" customWidth="1"/>
    <col min="3865" max="3865" width="1.125" style="63" customWidth="1"/>
    <col min="3866" max="3866" width="6.125" style="63" customWidth="1"/>
    <col min="3867" max="3868" width="8.625" style="63" customWidth="1"/>
    <col min="3869" max="3869" width="1.125" style="63" customWidth="1"/>
    <col min="3870" max="4096" width="9" style="63"/>
    <col min="4097" max="4097" width="1.125" style="63" customWidth="1"/>
    <col min="4098" max="4098" width="6.125" style="63" customWidth="1"/>
    <col min="4099" max="4101" width="8.625" style="63" customWidth="1"/>
    <col min="4102" max="4102" width="1.125" style="63" customWidth="1"/>
    <col min="4103" max="4103" width="6.125" style="63" customWidth="1"/>
    <col min="4104" max="4106" width="8.625" style="63" customWidth="1"/>
    <col min="4107" max="4107" width="1.125" style="63" customWidth="1"/>
    <col min="4108" max="4108" width="6.125" style="63" customWidth="1"/>
    <col min="4109" max="4111" width="8.625" style="63" customWidth="1"/>
    <col min="4112" max="4112" width="1.125" style="63" customWidth="1"/>
    <col min="4113" max="4113" width="6.125" style="63" customWidth="1"/>
    <col min="4114" max="4116" width="8.625" style="63" customWidth="1"/>
    <col min="4117" max="4117" width="1.125" style="63" customWidth="1"/>
    <col min="4118" max="4118" width="6.125" style="63" customWidth="1"/>
    <col min="4119" max="4120" width="8.625" style="63" customWidth="1"/>
    <col min="4121" max="4121" width="1.125" style="63" customWidth="1"/>
    <col min="4122" max="4122" width="6.125" style="63" customWidth="1"/>
    <col min="4123" max="4124" width="8.625" style="63" customWidth="1"/>
    <col min="4125" max="4125" width="1.125" style="63" customWidth="1"/>
    <col min="4126" max="4352" width="9" style="63"/>
    <col min="4353" max="4353" width="1.125" style="63" customWidth="1"/>
    <col min="4354" max="4354" width="6.125" style="63" customWidth="1"/>
    <col min="4355" max="4357" width="8.625" style="63" customWidth="1"/>
    <col min="4358" max="4358" width="1.125" style="63" customWidth="1"/>
    <col min="4359" max="4359" width="6.125" style="63" customWidth="1"/>
    <col min="4360" max="4362" width="8.625" style="63" customWidth="1"/>
    <col min="4363" max="4363" width="1.125" style="63" customWidth="1"/>
    <col min="4364" max="4364" width="6.125" style="63" customWidth="1"/>
    <col min="4365" max="4367" width="8.625" style="63" customWidth="1"/>
    <col min="4368" max="4368" width="1.125" style="63" customWidth="1"/>
    <col min="4369" max="4369" width="6.125" style="63" customWidth="1"/>
    <col min="4370" max="4372" width="8.625" style="63" customWidth="1"/>
    <col min="4373" max="4373" width="1.125" style="63" customWidth="1"/>
    <col min="4374" max="4374" width="6.125" style="63" customWidth="1"/>
    <col min="4375" max="4376" width="8.625" style="63" customWidth="1"/>
    <col min="4377" max="4377" width="1.125" style="63" customWidth="1"/>
    <col min="4378" max="4378" width="6.125" style="63" customWidth="1"/>
    <col min="4379" max="4380" width="8.625" style="63" customWidth="1"/>
    <col min="4381" max="4381" width="1.125" style="63" customWidth="1"/>
    <col min="4382" max="4608" width="9" style="63"/>
    <col min="4609" max="4609" width="1.125" style="63" customWidth="1"/>
    <col min="4610" max="4610" width="6.125" style="63" customWidth="1"/>
    <col min="4611" max="4613" width="8.625" style="63" customWidth="1"/>
    <col min="4614" max="4614" width="1.125" style="63" customWidth="1"/>
    <col min="4615" max="4615" width="6.125" style="63" customWidth="1"/>
    <col min="4616" max="4618" width="8.625" style="63" customWidth="1"/>
    <col min="4619" max="4619" width="1.125" style="63" customWidth="1"/>
    <col min="4620" max="4620" width="6.125" style="63" customWidth="1"/>
    <col min="4621" max="4623" width="8.625" style="63" customWidth="1"/>
    <col min="4624" max="4624" width="1.125" style="63" customWidth="1"/>
    <col min="4625" max="4625" width="6.125" style="63" customWidth="1"/>
    <col min="4626" max="4628" width="8.625" style="63" customWidth="1"/>
    <col min="4629" max="4629" width="1.125" style="63" customWidth="1"/>
    <col min="4630" max="4630" width="6.125" style="63" customWidth="1"/>
    <col min="4631" max="4632" width="8.625" style="63" customWidth="1"/>
    <col min="4633" max="4633" width="1.125" style="63" customWidth="1"/>
    <col min="4634" max="4634" width="6.125" style="63" customWidth="1"/>
    <col min="4635" max="4636" width="8.625" style="63" customWidth="1"/>
    <col min="4637" max="4637" width="1.125" style="63" customWidth="1"/>
    <col min="4638" max="4864" width="9" style="63"/>
    <col min="4865" max="4865" width="1.125" style="63" customWidth="1"/>
    <col min="4866" max="4866" width="6.125" style="63" customWidth="1"/>
    <col min="4867" max="4869" width="8.625" style="63" customWidth="1"/>
    <col min="4870" max="4870" width="1.125" style="63" customWidth="1"/>
    <col min="4871" max="4871" width="6.125" style="63" customWidth="1"/>
    <col min="4872" max="4874" width="8.625" style="63" customWidth="1"/>
    <col min="4875" max="4875" width="1.125" style="63" customWidth="1"/>
    <col min="4876" max="4876" width="6.125" style="63" customWidth="1"/>
    <col min="4877" max="4879" width="8.625" style="63" customWidth="1"/>
    <col min="4880" max="4880" width="1.125" style="63" customWidth="1"/>
    <col min="4881" max="4881" width="6.125" style="63" customWidth="1"/>
    <col min="4882" max="4884" width="8.625" style="63" customWidth="1"/>
    <col min="4885" max="4885" width="1.125" style="63" customWidth="1"/>
    <col min="4886" max="4886" width="6.125" style="63" customWidth="1"/>
    <col min="4887" max="4888" width="8.625" style="63" customWidth="1"/>
    <col min="4889" max="4889" width="1.125" style="63" customWidth="1"/>
    <col min="4890" max="4890" width="6.125" style="63" customWidth="1"/>
    <col min="4891" max="4892" width="8.625" style="63" customWidth="1"/>
    <col min="4893" max="4893" width="1.125" style="63" customWidth="1"/>
    <col min="4894" max="5120" width="9" style="63"/>
    <col min="5121" max="5121" width="1.125" style="63" customWidth="1"/>
    <col min="5122" max="5122" width="6.125" style="63" customWidth="1"/>
    <col min="5123" max="5125" width="8.625" style="63" customWidth="1"/>
    <col min="5126" max="5126" width="1.125" style="63" customWidth="1"/>
    <col min="5127" max="5127" width="6.125" style="63" customWidth="1"/>
    <col min="5128" max="5130" width="8.625" style="63" customWidth="1"/>
    <col min="5131" max="5131" width="1.125" style="63" customWidth="1"/>
    <col min="5132" max="5132" width="6.125" style="63" customWidth="1"/>
    <col min="5133" max="5135" width="8.625" style="63" customWidth="1"/>
    <col min="5136" max="5136" width="1.125" style="63" customWidth="1"/>
    <col min="5137" max="5137" width="6.125" style="63" customWidth="1"/>
    <col min="5138" max="5140" width="8.625" style="63" customWidth="1"/>
    <col min="5141" max="5141" width="1.125" style="63" customWidth="1"/>
    <col min="5142" max="5142" width="6.125" style="63" customWidth="1"/>
    <col min="5143" max="5144" width="8.625" style="63" customWidth="1"/>
    <col min="5145" max="5145" width="1.125" style="63" customWidth="1"/>
    <col min="5146" max="5146" width="6.125" style="63" customWidth="1"/>
    <col min="5147" max="5148" width="8.625" style="63" customWidth="1"/>
    <col min="5149" max="5149" width="1.125" style="63" customWidth="1"/>
    <col min="5150" max="5376" width="9" style="63"/>
    <col min="5377" max="5377" width="1.125" style="63" customWidth="1"/>
    <col min="5378" max="5378" width="6.125" style="63" customWidth="1"/>
    <col min="5379" max="5381" width="8.625" style="63" customWidth="1"/>
    <col min="5382" max="5382" width="1.125" style="63" customWidth="1"/>
    <col min="5383" max="5383" width="6.125" style="63" customWidth="1"/>
    <col min="5384" max="5386" width="8.625" style="63" customWidth="1"/>
    <col min="5387" max="5387" width="1.125" style="63" customWidth="1"/>
    <col min="5388" max="5388" width="6.125" style="63" customWidth="1"/>
    <col min="5389" max="5391" width="8.625" style="63" customWidth="1"/>
    <col min="5392" max="5392" width="1.125" style="63" customWidth="1"/>
    <col min="5393" max="5393" width="6.125" style="63" customWidth="1"/>
    <col min="5394" max="5396" width="8.625" style="63" customWidth="1"/>
    <col min="5397" max="5397" width="1.125" style="63" customWidth="1"/>
    <col min="5398" max="5398" width="6.125" style="63" customWidth="1"/>
    <col min="5399" max="5400" width="8.625" style="63" customWidth="1"/>
    <col min="5401" max="5401" width="1.125" style="63" customWidth="1"/>
    <col min="5402" max="5402" width="6.125" style="63" customWidth="1"/>
    <col min="5403" max="5404" width="8.625" style="63" customWidth="1"/>
    <col min="5405" max="5405" width="1.125" style="63" customWidth="1"/>
    <col min="5406" max="5632" width="9" style="63"/>
    <col min="5633" max="5633" width="1.125" style="63" customWidth="1"/>
    <col min="5634" max="5634" width="6.125" style="63" customWidth="1"/>
    <col min="5635" max="5637" width="8.625" style="63" customWidth="1"/>
    <col min="5638" max="5638" width="1.125" style="63" customWidth="1"/>
    <col min="5639" max="5639" width="6.125" style="63" customWidth="1"/>
    <col min="5640" max="5642" width="8.625" style="63" customWidth="1"/>
    <col min="5643" max="5643" width="1.125" style="63" customWidth="1"/>
    <col min="5644" max="5644" width="6.125" style="63" customWidth="1"/>
    <col min="5645" max="5647" width="8.625" style="63" customWidth="1"/>
    <col min="5648" max="5648" width="1.125" style="63" customWidth="1"/>
    <col min="5649" max="5649" width="6.125" style="63" customWidth="1"/>
    <col min="5650" max="5652" width="8.625" style="63" customWidth="1"/>
    <col min="5653" max="5653" width="1.125" style="63" customWidth="1"/>
    <col min="5654" max="5654" width="6.125" style="63" customWidth="1"/>
    <col min="5655" max="5656" width="8.625" style="63" customWidth="1"/>
    <col min="5657" max="5657" width="1.125" style="63" customWidth="1"/>
    <col min="5658" max="5658" width="6.125" style="63" customWidth="1"/>
    <col min="5659" max="5660" width="8.625" style="63" customWidth="1"/>
    <col min="5661" max="5661" width="1.125" style="63" customWidth="1"/>
    <col min="5662" max="5888" width="9" style="63"/>
    <col min="5889" max="5889" width="1.125" style="63" customWidth="1"/>
    <col min="5890" max="5890" width="6.125" style="63" customWidth="1"/>
    <col min="5891" max="5893" width="8.625" style="63" customWidth="1"/>
    <col min="5894" max="5894" width="1.125" style="63" customWidth="1"/>
    <col min="5895" max="5895" width="6.125" style="63" customWidth="1"/>
    <col min="5896" max="5898" width="8.625" style="63" customWidth="1"/>
    <col min="5899" max="5899" width="1.125" style="63" customWidth="1"/>
    <col min="5900" max="5900" width="6.125" style="63" customWidth="1"/>
    <col min="5901" max="5903" width="8.625" style="63" customWidth="1"/>
    <col min="5904" max="5904" width="1.125" style="63" customWidth="1"/>
    <col min="5905" max="5905" width="6.125" style="63" customWidth="1"/>
    <col min="5906" max="5908" width="8.625" style="63" customWidth="1"/>
    <col min="5909" max="5909" width="1.125" style="63" customWidth="1"/>
    <col min="5910" max="5910" width="6.125" style="63" customWidth="1"/>
    <col min="5911" max="5912" width="8.625" style="63" customWidth="1"/>
    <col min="5913" max="5913" width="1.125" style="63" customWidth="1"/>
    <col min="5914" max="5914" width="6.125" style="63" customWidth="1"/>
    <col min="5915" max="5916" width="8.625" style="63" customWidth="1"/>
    <col min="5917" max="5917" width="1.125" style="63" customWidth="1"/>
    <col min="5918" max="6144" width="9" style="63"/>
    <col min="6145" max="6145" width="1.125" style="63" customWidth="1"/>
    <col min="6146" max="6146" width="6.125" style="63" customWidth="1"/>
    <col min="6147" max="6149" width="8.625" style="63" customWidth="1"/>
    <col min="6150" max="6150" width="1.125" style="63" customWidth="1"/>
    <col min="6151" max="6151" width="6.125" style="63" customWidth="1"/>
    <col min="6152" max="6154" width="8.625" style="63" customWidth="1"/>
    <col min="6155" max="6155" width="1.125" style="63" customWidth="1"/>
    <col min="6156" max="6156" width="6.125" style="63" customWidth="1"/>
    <col min="6157" max="6159" width="8.625" style="63" customWidth="1"/>
    <col min="6160" max="6160" width="1.125" style="63" customWidth="1"/>
    <col min="6161" max="6161" width="6.125" style="63" customWidth="1"/>
    <col min="6162" max="6164" width="8.625" style="63" customWidth="1"/>
    <col min="6165" max="6165" width="1.125" style="63" customWidth="1"/>
    <col min="6166" max="6166" width="6.125" style="63" customWidth="1"/>
    <col min="6167" max="6168" width="8.625" style="63" customWidth="1"/>
    <col min="6169" max="6169" width="1.125" style="63" customWidth="1"/>
    <col min="6170" max="6170" width="6.125" style="63" customWidth="1"/>
    <col min="6171" max="6172" width="8.625" style="63" customWidth="1"/>
    <col min="6173" max="6173" width="1.125" style="63" customWidth="1"/>
    <col min="6174" max="6400" width="9" style="63"/>
    <col min="6401" max="6401" width="1.125" style="63" customWidth="1"/>
    <col min="6402" max="6402" width="6.125" style="63" customWidth="1"/>
    <col min="6403" max="6405" width="8.625" style="63" customWidth="1"/>
    <col min="6406" max="6406" width="1.125" style="63" customWidth="1"/>
    <col min="6407" max="6407" width="6.125" style="63" customWidth="1"/>
    <col min="6408" max="6410" width="8.625" style="63" customWidth="1"/>
    <col min="6411" max="6411" width="1.125" style="63" customWidth="1"/>
    <col min="6412" max="6412" width="6.125" style="63" customWidth="1"/>
    <col min="6413" max="6415" width="8.625" style="63" customWidth="1"/>
    <col min="6416" max="6416" width="1.125" style="63" customWidth="1"/>
    <col min="6417" max="6417" width="6.125" style="63" customWidth="1"/>
    <col min="6418" max="6420" width="8.625" style="63" customWidth="1"/>
    <col min="6421" max="6421" width="1.125" style="63" customWidth="1"/>
    <col min="6422" max="6422" width="6.125" style="63" customWidth="1"/>
    <col min="6423" max="6424" width="8.625" style="63" customWidth="1"/>
    <col min="6425" max="6425" width="1.125" style="63" customWidth="1"/>
    <col min="6426" max="6426" width="6.125" style="63" customWidth="1"/>
    <col min="6427" max="6428" width="8.625" style="63" customWidth="1"/>
    <col min="6429" max="6429" width="1.125" style="63" customWidth="1"/>
    <col min="6430" max="6656" width="9" style="63"/>
    <col min="6657" max="6657" width="1.125" style="63" customWidth="1"/>
    <col min="6658" max="6658" width="6.125" style="63" customWidth="1"/>
    <col min="6659" max="6661" width="8.625" style="63" customWidth="1"/>
    <col min="6662" max="6662" width="1.125" style="63" customWidth="1"/>
    <col min="6663" max="6663" width="6.125" style="63" customWidth="1"/>
    <col min="6664" max="6666" width="8.625" style="63" customWidth="1"/>
    <col min="6667" max="6667" width="1.125" style="63" customWidth="1"/>
    <col min="6668" max="6668" width="6.125" style="63" customWidth="1"/>
    <col min="6669" max="6671" width="8.625" style="63" customWidth="1"/>
    <col min="6672" max="6672" width="1.125" style="63" customWidth="1"/>
    <col min="6673" max="6673" width="6.125" style="63" customWidth="1"/>
    <col min="6674" max="6676" width="8.625" style="63" customWidth="1"/>
    <col min="6677" max="6677" width="1.125" style="63" customWidth="1"/>
    <col min="6678" max="6678" width="6.125" style="63" customWidth="1"/>
    <col min="6679" max="6680" width="8.625" style="63" customWidth="1"/>
    <col min="6681" max="6681" width="1.125" style="63" customWidth="1"/>
    <col min="6682" max="6682" width="6.125" style="63" customWidth="1"/>
    <col min="6683" max="6684" width="8.625" style="63" customWidth="1"/>
    <col min="6685" max="6685" width="1.125" style="63" customWidth="1"/>
    <col min="6686" max="6912" width="9" style="63"/>
    <col min="6913" max="6913" width="1.125" style="63" customWidth="1"/>
    <col min="6914" max="6914" width="6.125" style="63" customWidth="1"/>
    <col min="6915" max="6917" width="8.625" style="63" customWidth="1"/>
    <col min="6918" max="6918" width="1.125" style="63" customWidth="1"/>
    <col min="6919" max="6919" width="6.125" style="63" customWidth="1"/>
    <col min="6920" max="6922" width="8.625" style="63" customWidth="1"/>
    <col min="6923" max="6923" width="1.125" style="63" customWidth="1"/>
    <col min="6924" max="6924" width="6.125" style="63" customWidth="1"/>
    <col min="6925" max="6927" width="8.625" style="63" customWidth="1"/>
    <col min="6928" max="6928" width="1.125" style="63" customWidth="1"/>
    <col min="6929" max="6929" width="6.125" style="63" customWidth="1"/>
    <col min="6930" max="6932" width="8.625" style="63" customWidth="1"/>
    <col min="6933" max="6933" width="1.125" style="63" customWidth="1"/>
    <col min="6934" max="6934" width="6.125" style="63" customWidth="1"/>
    <col min="6935" max="6936" width="8.625" style="63" customWidth="1"/>
    <col min="6937" max="6937" width="1.125" style="63" customWidth="1"/>
    <col min="6938" max="6938" width="6.125" style="63" customWidth="1"/>
    <col min="6939" max="6940" width="8.625" style="63" customWidth="1"/>
    <col min="6941" max="6941" width="1.125" style="63" customWidth="1"/>
    <col min="6942" max="7168" width="9" style="63"/>
    <col min="7169" max="7169" width="1.125" style="63" customWidth="1"/>
    <col min="7170" max="7170" width="6.125" style="63" customWidth="1"/>
    <col min="7171" max="7173" width="8.625" style="63" customWidth="1"/>
    <col min="7174" max="7174" width="1.125" style="63" customWidth="1"/>
    <col min="7175" max="7175" width="6.125" style="63" customWidth="1"/>
    <col min="7176" max="7178" width="8.625" style="63" customWidth="1"/>
    <col min="7179" max="7179" width="1.125" style="63" customWidth="1"/>
    <col min="7180" max="7180" width="6.125" style="63" customWidth="1"/>
    <col min="7181" max="7183" width="8.625" style="63" customWidth="1"/>
    <col min="7184" max="7184" width="1.125" style="63" customWidth="1"/>
    <col min="7185" max="7185" width="6.125" style="63" customWidth="1"/>
    <col min="7186" max="7188" width="8.625" style="63" customWidth="1"/>
    <col min="7189" max="7189" width="1.125" style="63" customWidth="1"/>
    <col min="7190" max="7190" width="6.125" style="63" customWidth="1"/>
    <col min="7191" max="7192" width="8.625" style="63" customWidth="1"/>
    <col min="7193" max="7193" width="1.125" style="63" customWidth="1"/>
    <col min="7194" max="7194" width="6.125" style="63" customWidth="1"/>
    <col min="7195" max="7196" width="8.625" style="63" customWidth="1"/>
    <col min="7197" max="7197" width="1.125" style="63" customWidth="1"/>
    <col min="7198" max="7424" width="9" style="63"/>
    <col min="7425" max="7425" width="1.125" style="63" customWidth="1"/>
    <col min="7426" max="7426" width="6.125" style="63" customWidth="1"/>
    <col min="7427" max="7429" width="8.625" style="63" customWidth="1"/>
    <col min="7430" max="7430" width="1.125" style="63" customWidth="1"/>
    <col min="7431" max="7431" width="6.125" style="63" customWidth="1"/>
    <col min="7432" max="7434" width="8.625" style="63" customWidth="1"/>
    <col min="7435" max="7435" width="1.125" style="63" customWidth="1"/>
    <col min="7436" max="7436" width="6.125" style="63" customWidth="1"/>
    <col min="7437" max="7439" width="8.625" style="63" customWidth="1"/>
    <col min="7440" max="7440" width="1.125" style="63" customWidth="1"/>
    <col min="7441" max="7441" width="6.125" style="63" customWidth="1"/>
    <col min="7442" max="7444" width="8.625" style="63" customWidth="1"/>
    <col min="7445" max="7445" width="1.125" style="63" customWidth="1"/>
    <col min="7446" max="7446" width="6.125" style="63" customWidth="1"/>
    <col min="7447" max="7448" width="8.625" style="63" customWidth="1"/>
    <col min="7449" max="7449" width="1.125" style="63" customWidth="1"/>
    <col min="7450" max="7450" width="6.125" style="63" customWidth="1"/>
    <col min="7451" max="7452" width="8.625" style="63" customWidth="1"/>
    <col min="7453" max="7453" width="1.125" style="63" customWidth="1"/>
    <col min="7454" max="7680" width="9" style="63"/>
    <col min="7681" max="7681" width="1.125" style="63" customWidth="1"/>
    <col min="7682" max="7682" width="6.125" style="63" customWidth="1"/>
    <col min="7683" max="7685" width="8.625" style="63" customWidth="1"/>
    <col min="7686" max="7686" width="1.125" style="63" customWidth="1"/>
    <col min="7687" max="7687" width="6.125" style="63" customWidth="1"/>
    <col min="7688" max="7690" width="8.625" style="63" customWidth="1"/>
    <col min="7691" max="7691" width="1.125" style="63" customWidth="1"/>
    <col min="7692" max="7692" width="6.125" style="63" customWidth="1"/>
    <col min="7693" max="7695" width="8.625" style="63" customWidth="1"/>
    <col min="7696" max="7696" width="1.125" style="63" customWidth="1"/>
    <col min="7697" max="7697" width="6.125" style="63" customWidth="1"/>
    <col min="7698" max="7700" width="8.625" style="63" customWidth="1"/>
    <col min="7701" max="7701" width="1.125" style="63" customWidth="1"/>
    <col min="7702" max="7702" width="6.125" style="63" customWidth="1"/>
    <col min="7703" max="7704" width="8.625" style="63" customWidth="1"/>
    <col min="7705" max="7705" width="1.125" style="63" customWidth="1"/>
    <col min="7706" max="7706" width="6.125" style="63" customWidth="1"/>
    <col min="7707" max="7708" width="8.625" style="63" customWidth="1"/>
    <col min="7709" max="7709" width="1.125" style="63" customWidth="1"/>
    <col min="7710" max="7936" width="9" style="63"/>
    <col min="7937" max="7937" width="1.125" style="63" customWidth="1"/>
    <col min="7938" max="7938" width="6.125" style="63" customWidth="1"/>
    <col min="7939" max="7941" width="8.625" style="63" customWidth="1"/>
    <col min="7942" max="7942" width="1.125" style="63" customWidth="1"/>
    <col min="7943" max="7943" width="6.125" style="63" customWidth="1"/>
    <col min="7944" max="7946" width="8.625" style="63" customWidth="1"/>
    <col min="7947" max="7947" width="1.125" style="63" customWidth="1"/>
    <col min="7948" max="7948" width="6.125" style="63" customWidth="1"/>
    <col min="7949" max="7951" width="8.625" style="63" customWidth="1"/>
    <col min="7952" max="7952" width="1.125" style="63" customWidth="1"/>
    <col min="7953" max="7953" width="6.125" style="63" customWidth="1"/>
    <col min="7954" max="7956" width="8.625" style="63" customWidth="1"/>
    <col min="7957" max="7957" width="1.125" style="63" customWidth="1"/>
    <col min="7958" max="7958" width="6.125" style="63" customWidth="1"/>
    <col min="7959" max="7960" width="8.625" style="63" customWidth="1"/>
    <col min="7961" max="7961" width="1.125" style="63" customWidth="1"/>
    <col min="7962" max="7962" width="6.125" style="63" customWidth="1"/>
    <col min="7963" max="7964" width="8.625" style="63" customWidth="1"/>
    <col min="7965" max="7965" width="1.125" style="63" customWidth="1"/>
    <col min="7966" max="8192" width="9" style="63"/>
    <col min="8193" max="8193" width="1.125" style="63" customWidth="1"/>
    <col min="8194" max="8194" width="6.125" style="63" customWidth="1"/>
    <col min="8195" max="8197" width="8.625" style="63" customWidth="1"/>
    <col min="8198" max="8198" width="1.125" style="63" customWidth="1"/>
    <col min="8199" max="8199" width="6.125" style="63" customWidth="1"/>
    <col min="8200" max="8202" width="8.625" style="63" customWidth="1"/>
    <col min="8203" max="8203" width="1.125" style="63" customWidth="1"/>
    <col min="8204" max="8204" width="6.125" style="63" customWidth="1"/>
    <col min="8205" max="8207" width="8.625" style="63" customWidth="1"/>
    <col min="8208" max="8208" width="1.125" style="63" customWidth="1"/>
    <col min="8209" max="8209" width="6.125" style="63" customWidth="1"/>
    <col min="8210" max="8212" width="8.625" style="63" customWidth="1"/>
    <col min="8213" max="8213" width="1.125" style="63" customWidth="1"/>
    <col min="8214" max="8214" width="6.125" style="63" customWidth="1"/>
    <col min="8215" max="8216" width="8.625" style="63" customWidth="1"/>
    <col min="8217" max="8217" width="1.125" style="63" customWidth="1"/>
    <col min="8218" max="8218" width="6.125" style="63" customWidth="1"/>
    <col min="8219" max="8220" width="8.625" style="63" customWidth="1"/>
    <col min="8221" max="8221" width="1.125" style="63" customWidth="1"/>
    <col min="8222" max="8448" width="9" style="63"/>
    <col min="8449" max="8449" width="1.125" style="63" customWidth="1"/>
    <col min="8450" max="8450" width="6.125" style="63" customWidth="1"/>
    <col min="8451" max="8453" width="8.625" style="63" customWidth="1"/>
    <col min="8454" max="8454" width="1.125" style="63" customWidth="1"/>
    <col min="8455" max="8455" width="6.125" style="63" customWidth="1"/>
    <col min="8456" max="8458" width="8.625" style="63" customWidth="1"/>
    <col min="8459" max="8459" width="1.125" style="63" customWidth="1"/>
    <col min="8460" max="8460" width="6.125" style="63" customWidth="1"/>
    <col min="8461" max="8463" width="8.625" style="63" customWidth="1"/>
    <col min="8464" max="8464" width="1.125" style="63" customWidth="1"/>
    <col min="8465" max="8465" width="6.125" style="63" customWidth="1"/>
    <col min="8466" max="8468" width="8.625" style="63" customWidth="1"/>
    <col min="8469" max="8469" width="1.125" style="63" customWidth="1"/>
    <col min="8470" max="8470" width="6.125" style="63" customWidth="1"/>
    <col min="8471" max="8472" width="8.625" style="63" customWidth="1"/>
    <col min="8473" max="8473" width="1.125" style="63" customWidth="1"/>
    <col min="8474" max="8474" width="6.125" style="63" customWidth="1"/>
    <col min="8475" max="8476" width="8.625" style="63" customWidth="1"/>
    <col min="8477" max="8477" width="1.125" style="63" customWidth="1"/>
    <col min="8478" max="8704" width="9" style="63"/>
    <col min="8705" max="8705" width="1.125" style="63" customWidth="1"/>
    <col min="8706" max="8706" width="6.125" style="63" customWidth="1"/>
    <col min="8707" max="8709" width="8.625" style="63" customWidth="1"/>
    <col min="8710" max="8710" width="1.125" style="63" customWidth="1"/>
    <col min="8711" max="8711" width="6.125" style="63" customWidth="1"/>
    <col min="8712" max="8714" width="8.625" style="63" customWidth="1"/>
    <col min="8715" max="8715" width="1.125" style="63" customWidth="1"/>
    <col min="8716" max="8716" width="6.125" style="63" customWidth="1"/>
    <col min="8717" max="8719" width="8.625" style="63" customWidth="1"/>
    <col min="8720" max="8720" width="1.125" style="63" customWidth="1"/>
    <col min="8721" max="8721" width="6.125" style="63" customWidth="1"/>
    <col min="8722" max="8724" width="8.625" style="63" customWidth="1"/>
    <col min="8725" max="8725" width="1.125" style="63" customWidth="1"/>
    <col min="8726" max="8726" width="6.125" style="63" customWidth="1"/>
    <col min="8727" max="8728" width="8.625" style="63" customWidth="1"/>
    <col min="8729" max="8729" width="1.125" style="63" customWidth="1"/>
    <col min="8730" max="8730" width="6.125" style="63" customWidth="1"/>
    <col min="8731" max="8732" width="8.625" style="63" customWidth="1"/>
    <col min="8733" max="8733" width="1.125" style="63" customWidth="1"/>
    <col min="8734" max="8960" width="9" style="63"/>
    <col min="8961" max="8961" width="1.125" style="63" customWidth="1"/>
    <col min="8962" max="8962" width="6.125" style="63" customWidth="1"/>
    <col min="8963" max="8965" width="8.625" style="63" customWidth="1"/>
    <col min="8966" max="8966" width="1.125" style="63" customWidth="1"/>
    <col min="8967" max="8967" width="6.125" style="63" customWidth="1"/>
    <col min="8968" max="8970" width="8.625" style="63" customWidth="1"/>
    <col min="8971" max="8971" width="1.125" style="63" customWidth="1"/>
    <col min="8972" max="8972" width="6.125" style="63" customWidth="1"/>
    <col min="8973" max="8975" width="8.625" style="63" customWidth="1"/>
    <col min="8976" max="8976" width="1.125" style="63" customWidth="1"/>
    <col min="8977" max="8977" width="6.125" style="63" customWidth="1"/>
    <col min="8978" max="8980" width="8.625" style="63" customWidth="1"/>
    <col min="8981" max="8981" width="1.125" style="63" customWidth="1"/>
    <col min="8982" max="8982" width="6.125" style="63" customWidth="1"/>
    <col min="8983" max="8984" width="8.625" style="63" customWidth="1"/>
    <col min="8985" max="8985" width="1.125" style="63" customWidth="1"/>
    <col min="8986" max="8986" width="6.125" style="63" customWidth="1"/>
    <col min="8987" max="8988" width="8.625" style="63" customWidth="1"/>
    <col min="8989" max="8989" width="1.125" style="63" customWidth="1"/>
    <col min="8990" max="9216" width="9" style="63"/>
    <col min="9217" max="9217" width="1.125" style="63" customWidth="1"/>
    <col min="9218" max="9218" width="6.125" style="63" customWidth="1"/>
    <col min="9219" max="9221" width="8.625" style="63" customWidth="1"/>
    <col min="9222" max="9222" width="1.125" style="63" customWidth="1"/>
    <col min="9223" max="9223" width="6.125" style="63" customWidth="1"/>
    <col min="9224" max="9226" width="8.625" style="63" customWidth="1"/>
    <col min="9227" max="9227" width="1.125" style="63" customWidth="1"/>
    <col min="9228" max="9228" width="6.125" style="63" customWidth="1"/>
    <col min="9229" max="9231" width="8.625" style="63" customWidth="1"/>
    <col min="9232" max="9232" width="1.125" style="63" customWidth="1"/>
    <col min="9233" max="9233" width="6.125" style="63" customWidth="1"/>
    <col min="9234" max="9236" width="8.625" style="63" customWidth="1"/>
    <col min="9237" max="9237" width="1.125" style="63" customWidth="1"/>
    <col min="9238" max="9238" width="6.125" style="63" customWidth="1"/>
    <col min="9239" max="9240" width="8.625" style="63" customWidth="1"/>
    <col min="9241" max="9241" width="1.125" style="63" customWidth="1"/>
    <col min="9242" max="9242" width="6.125" style="63" customWidth="1"/>
    <col min="9243" max="9244" width="8.625" style="63" customWidth="1"/>
    <col min="9245" max="9245" width="1.125" style="63" customWidth="1"/>
    <col min="9246" max="9472" width="9" style="63"/>
    <col min="9473" max="9473" width="1.125" style="63" customWidth="1"/>
    <col min="9474" max="9474" width="6.125" style="63" customWidth="1"/>
    <col min="9475" max="9477" width="8.625" style="63" customWidth="1"/>
    <col min="9478" max="9478" width="1.125" style="63" customWidth="1"/>
    <col min="9479" max="9479" width="6.125" style="63" customWidth="1"/>
    <col min="9480" max="9482" width="8.625" style="63" customWidth="1"/>
    <col min="9483" max="9483" width="1.125" style="63" customWidth="1"/>
    <col min="9484" max="9484" width="6.125" style="63" customWidth="1"/>
    <col min="9485" max="9487" width="8.625" style="63" customWidth="1"/>
    <col min="9488" max="9488" width="1.125" style="63" customWidth="1"/>
    <col min="9489" max="9489" width="6.125" style="63" customWidth="1"/>
    <col min="9490" max="9492" width="8.625" style="63" customWidth="1"/>
    <col min="9493" max="9493" width="1.125" style="63" customWidth="1"/>
    <col min="9494" max="9494" width="6.125" style="63" customWidth="1"/>
    <col min="9495" max="9496" width="8.625" style="63" customWidth="1"/>
    <col min="9497" max="9497" width="1.125" style="63" customWidth="1"/>
    <col min="9498" max="9498" width="6.125" style="63" customWidth="1"/>
    <col min="9499" max="9500" width="8.625" style="63" customWidth="1"/>
    <col min="9501" max="9501" width="1.125" style="63" customWidth="1"/>
    <col min="9502" max="9728" width="9" style="63"/>
    <col min="9729" max="9729" width="1.125" style="63" customWidth="1"/>
    <col min="9730" max="9730" width="6.125" style="63" customWidth="1"/>
    <col min="9731" max="9733" width="8.625" style="63" customWidth="1"/>
    <col min="9734" max="9734" width="1.125" style="63" customWidth="1"/>
    <col min="9735" max="9735" width="6.125" style="63" customWidth="1"/>
    <col min="9736" max="9738" width="8.625" style="63" customWidth="1"/>
    <col min="9739" max="9739" width="1.125" style="63" customWidth="1"/>
    <col min="9740" max="9740" width="6.125" style="63" customWidth="1"/>
    <col min="9741" max="9743" width="8.625" style="63" customWidth="1"/>
    <col min="9744" max="9744" width="1.125" style="63" customWidth="1"/>
    <col min="9745" max="9745" width="6.125" style="63" customWidth="1"/>
    <col min="9746" max="9748" width="8.625" style="63" customWidth="1"/>
    <col min="9749" max="9749" width="1.125" style="63" customWidth="1"/>
    <col min="9750" max="9750" width="6.125" style="63" customWidth="1"/>
    <col min="9751" max="9752" width="8.625" style="63" customWidth="1"/>
    <col min="9753" max="9753" width="1.125" style="63" customWidth="1"/>
    <col min="9754" max="9754" width="6.125" style="63" customWidth="1"/>
    <col min="9755" max="9756" width="8.625" style="63" customWidth="1"/>
    <col min="9757" max="9757" width="1.125" style="63" customWidth="1"/>
    <col min="9758" max="9984" width="9" style="63"/>
    <col min="9985" max="9985" width="1.125" style="63" customWidth="1"/>
    <col min="9986" max="9986" width="6.125" style="63" customWidth="1"/>
    <col min="9987" max="9989" width="8.625" style="63" customWidth="1"/>
    <col min="9990" max="9990" width="1.125" style="63" customWidth="1"/>
    <col min="9991" max="9991" width="6.125" style="63" customWidth="1"/>
    <col min="9992" max="9994" width="8.625" style="63" customWidth="1"/>
    <col min="9995" max="9995" width="1.125" style="63" customWidth="1"/>
    <col min="9996" max="9996" width="6.125" style="63" customWidth="1"/>
    <col min="9997" max="9999" width="8.625" style="63" customWidth="1"/>
    <col min="10000" max="10000" width="1.125" style="63" customWidth="1"/>
    <col min="10001" max="10001" width="6.125" style="63" customWidth="1"/>
    <col min="10002" max="10004" width="8.625" style="63" customWidth="1"/>
    <col min="10005" max="10005" width="1.125" style="63" customWidth="1"/>
    <col min="10006" max="10006" width="6.125" style="63" customWidth="1"/>
    <col min="10007" max="10008" width="8.625" style="63" customWidth="1"/>
    <col min="10009" max="10009" width="1.125" style="63" customWidth="1"/>
    <col min="10010" max="10010" width="6.125" style="63" customWidth="1"/>
    <col min="10011" max="10012" width="8.625" style="63" customWidth="1"/>
    <col min="10013" max="10013" width="1.125" style="63" customWidth="1"/>
    <col min="10014" max="10240" width="9" style="63"/>
    <col min="10241" max="10241" width="1.125" style="63" customWidth="1"/>
    <col min="10242" max="10242" width="6.125" style="63" customWidth="1"/>
    <col min="10243" max="10245" width="8.625" style="63" customWidth="1"/>
    <col min="10246" max="10246" width="1.125" style="63" customWidth="1"/>
    <col min="10247" max="10247" width="6.125" style="63" customWidth="1"/>
    <col min="10248" max="10250" width="8.625" style="63" customWidth="1"/>
    <col min="10251" max="10251" width="1.125" style="63" customWidth="1"/>
    <col min="10252" max="10252" width="6.125" style="63" customWidth="1"/>
    <col min="10253" max="10255" width="8.625" style="63" customWidth="1"/>
    <col min="10256" max="10256" width="1.125" style="63" customWidth="1"/>
    <col min="10257" max="10257" width="6.125" style="63" customWidth="1"/>
    <col min="10258" max="10260" width="8.625" style="63" customWidth="1"/>
    <col min="10261" max="10261" width="1.125" style="63" customWidth="1"/>
    <col min="10262" max="10262" width="6.125" style="63" customWidth="1"/>
    <col min="10263" max="10264" width="8.625" style="63" customWidth="1"/>
    <col min="10265" max="10265" width="1.125" style="63" customWidth="1"/>
    <col min="10266" max="10266" width="6.125" style="63" customWidth="1"/>
    <col min="10267" max="10268" width="8.625" style="63" customWidth="1"/>
    <col min="10269" max="10269" width="1.125" style="63" customWidth="1"/>
    <col min="10270" max="10496" width="9" style="63"/>
    <col min="10497" max="10497" width="1.125" style="63" customWidth="1"/>
    <col min="10498" max="10498" width="6.125" style="63" customWidth="1"/>
    <col min="10499" max="10501" width="8.625" style="63" customWidth="1"/>
    <col min="10502" max="10502" width="1.125" style="63" customWidth="1"/>
    <col min="10503" max="10503" width="6.125" style="63" customWidth="1"/>
    <col min="10504" max="10506" width="8.625" style="63" customWidth="1"/>
    <col min="10507" max="10507" width="1.125" style="63" customWidth="1"/>
    <col min="10508" max="10508" width="6.125" style="63" customWidth="1"/>
    <col min="10509" max="10511" width="8.625" style="63" customWidth="1"/>
    <col min="10512" max="10512" width="1.125" style="63" customWidth="1"/>
    <col min="10513" max="10513" width="6.125" style="63" customWidth="1"/>
    <col min="10514" max="10516" width="8.625" style="63" customWidth="1"/>
    <col min="10517" max="10517" width="1.125" style="63" customWidth="1"/>
    <col min="10518" max="10518" width="6.125" style="63" customWidth="1"/>
    <col min="10519" max="10520" width="8.625" style="63" customWidth="1"/>
    <col min="10521" max="10521" width="1.125" style="63" customWidth="1"/>
    <col min="10522" max="10522" width="6.125" style="63" customWidth="1"/>
    <col min="10523" max="10524" width="8.625" style="63" customWidth="1"/>
    <col min="10525" max="10525" width="1.125" style="63" customWidth="1"/>
    <col min="10526" max="10752" width="9" style="63"/>
    <col min="10753" max="10753" width="1.125" style="63" customWidth="1"/>
    <col min="10754" max="10754" width="6.125" style="63" customWidth="1"/>
    <col min="10755" max="10757" width="8.625" style="63" customWidth="1"/>
    <col min="10758" max="10758" width="1.125" style="63" customWidth="1"/>
    <col min="10759" max="10759" width="6.125" style="63" customWidth="1"/>
    <col min="10760" max="10762" width="8.625" style="63" customWidth="1"/>
    <col min="10763" max="10763" width="1.125" style="63" customWidth="1"/>
    <col min="10764" max="10764" width="6.125" style="63" customWidth="1"/>
    <col min="10765" max="10767" width="8.625" style="63" customWidth="1"/>
    <col min="10768" max="10768" width="1.125" style="63" customWidth="1"/>
    <col min="10769" max="10769" width="6.125" style="63" customWidth="1"/>
    <col min="10770" max="10772" width="8.625" style="63" customWidth="1"/>
    <col min="10773" max="10773" width="1.125" style="63" customWidth="1"/>
    <col min="10774" max="10774" width="6.125" style="63" customWidth="1"/>
    <col min="10775" max="10776" width="8.625" style="63" customWidth="1"/>
    <col min="10777" max="10777" width="1.125" style="63" customWidth="1"/>
    <col min="10778" max="10778" width="6.125" style="63" customWidth="1"/>
    <col min="10779" max="10780" width="8.625" style="63" customWidth="1"/>
    <col min="10781" max="10781" width="1.125" style="63" customWidth="1"/>
    <col min="10782" max="11008" width="9" style="63"/>
    <col min="11009" max="11009" width="1.125" style="63" customWidth="1"/>
    <col min="11010" max="11010" width="6.125" style="63" customWidth="1"/>
    <col min="11011" max="11013" width="8.625" style="63" customWidth="1"/>
    <col min="11014" max="11014" width="1.125" style="63" customWidth="1"/>
    <col min="11015" max="11015" width="6.125" style="63" customWidth="1"/>
    <col min="11016" max="11018" width="8.625" style="63" customWidth="1"/>
    <col min="11019" max="11019" width="1.125" style="63" customWidth="1"/>
    <col min="11020" max="11020" width="6.125" style="63" customWidth="1"/>
    <col min="11021" max="11023" width="8.625" style="63" customWidth="1"/>
    <col min="11024" max="11024" width="1.125" style="63" customWidth="1"/>
    <col min="11025" max="11025" width="6.125" style="63" customWidth="1"/>
    <col min="11026" max="11028" width="8.625" style="63" customWidth="1"/>
    <col min="11029" max="11029" width="1.125" style="63" customWidth="1"/>
    <col min="11030" max="11030" width="6.125" style="63" customWidth="1"/>
    <col min="11031" max="11032" width="8.625" style="63" customWidth="1"/>
    <col min="11033" max="11033" width="1.125" style="63" customWidth="1"/>
    <col min="11034" max="11034" width="6.125" style="63" customWidth="1"/>
    <col min="11035" max="11036" width="8.625" style="63" customWidth="1"/>
    <col min="11037" max="11037" width="1.125" style="63" customWidth="1"/>
    <col min="11038" max="11264" width="9" style="63"/>
    <col min="11265" max="11265" width="1.125" style="63" customWidth="1"/>
    <col min="11266" max="11266" width="6.125" style="63" customWidth="1"/>
    <col min="11267" max="11269" width="8.625" style="63" customWidth="1"/>
    <col min="11270" max="11270" width="1.125" style="63" customWidth="1"/>
    <col min="11271" max="11271" width="6.125" style="63" customWidth="1"/>
    <col min="11272" max="11274" width="8.625" style="63" customWidth="1"/>
    <col min="11275" max="11275" width="1.125" style="63" customWidth="1"/>
    <col min="11276" max="11276" width="6.125" style="63" customWidth="1"/>
    <col min="11277" max="11279" width="8.625" style="63" customWidth="1"/>
    <col min="11280" max="11280" width="1.125" style="63" customWidth="1"/>
    <col min="11281" max="11281" width="6.125" style="63" customWidth="1"/>
    <col min="11282" max="11284" width="8.625" style="63" customWidth="1"/>
    <col min="11285" max="11285" width="1.125" style="63" customWidth="1"/>
    <col min="11286" max="11286" width="6.125" style="63" customWidth="1"/>
    <col min="11287" max="11288" width="8.625" style="63" customWidth="1"/>
    <col min="11289" max="11289" width="1.125" style="63" customWidth="1"/>
    <col min="11290" max="11290" width="6.125" style="63" customWidth="1"/>
    <col min="11291" max="11292" width="8.625" style="63" customWidth="1"/>
    <col min="11293" max="11293" width="1.125" style="63" customWidth="1"/>
    <col min="11294" max="11520" width="9" style="63"/>
    <col min="11521" max="11521" width="1.125" style="63" customWidth="1"/>
    <col min="11522" max="11522" width="6.125" style="63" customWidth="1"/>
    <col min="11523" max="11525" width="8.625" style="63" customWidth="1"/>
    <col min="11526" max="11526" width="1.125" style="63" customWidth="1"/>
    <col min="11527" max="11527" width="6.125" style="63" customWidth="1"/>
    <col min="11528" max="11530" width="8.625" style="63" customWidth="1"/>
    <col min="11531" max="11531" width="1.125" style="63" customWidth="1"/>
    <col min="11532" max="11532" width="6.125" style="63" customWidth="1"/>
    <col min="11533" max="11535" width="8.625" style="63" customWidth="1"/>
    <col min="11536" max="11536" width="1.125" style="63" customWidth="1"/>
    <col min="11537" max="11537" width="6.125" style="63" customWidth="1"/>
    <col min="11538" max="11540" width="8.625" style="63" customWidth="1"/>
    <col min="11541" max="11541" width="1.125" style="63" customWidth="1"/>
    <col min="11542" max="11542" width="6.125" style="63" customWidth="1"/>
    <col min="11543" max="11544" width="8.625" style="63" customWidth="1"/>
    <col min="11545" max="11545" width="1.125" style="63" customWidth="1"/>
    <col min="11546" max="11546" width="6.125" style="63" customWidth="1"/>
    <col min="11547" max="11548" width="8.625" style="63" customWidth="1"/>
    <col min="11549" max="11549" width="1.125" style="63" customWidth="1"/>
    <col min="11550" max="11776" width="9" style="63"/>
    <col min="11777" max="11777" width="1.125" style="63" customWidth="1"/>
    <col min="11778" max="11778" width="6.125" style="63" customWidth="1"/>
    <col min="11779" max="11781" width="8.625" style="63" customWidth="1"/>
    <col min="11782" max="11782" width="1.125" style="63" customWidth="1"/>
    <col min="11783" max="11783" width="6.125" style="63" customWidth="1"/>
    <col min="11784" max="11786" width="8.625" style="63" customWidth="1"/>
    <col min="11787" max="11787" width="1.125" style="63" customWidth="1"/>
    <col min="11788" max="11788" width="6.125" style="63" customWidth="1"/>
    <col min="11789" max="11791" width="8.625" style="63" customWidth="1"/>
    <col min="11792" max="11792" width="1.125" style="63" customWidth="1"/>
    <col min="11793" max="11793" width="6.125" style="63" customWidth="1"/>
    <col min="11794" max="11796" width="8.625" style="63" customWidth="1"/>
    <col min="11797" max="11797" width="1.125" style="63" customWidth="1"/>
    <col min="11798" max="11798" width="6.125" style="63" customWidth="1"/>
    <col min="11799" max="11800" width="8.625" style="63" customWidth="1"/>
    <col min="11801" max="11801" width="1.125" style="63" customWidth="1"/>
    <col min="11802" max="11802" width="6.125" style="63" customWidth="1"/>
    <col min="11803" max="11804" width="8.625" style="63" customWidth="1"/>
    <col min="11805" max="11805" width="1.125" style="63" customWidth="1"/>
    <col min="11806" max="12032" width="9" style="63"/>
    <col min="12033" max="12033" width="1.125" style="63" customWidth="1"/>
    <col min="12034" max="12034" width="6.125" style="63" customWidth="1"/>
    <col min="12035" max="12037" width="8.625" style="63" customWidth="1"/>
    <col min="12038" max="12038" width="1.125" style="63" customWidth="1"/>
    <col min="12039" max="12039" width="6.125" style="63" customWidth="1"/>
    <col min="12040" max="12042" width="8.625" style="63" customWidth="1"/>
    <col min="12043" max="12043" width="1.125" style="63" customWidth="1"/>
    <col min="12044" max="12044" width="6.125" style="63" customWidth="1"/>
    <col min="12045" max="12047" width="8.625" style="63" customWidth="1"/>
    <col min="12048" max="12048" width="1.125" style="63" customWidth="1"/>
    <col min="12049" max="12049" width="6.125" style="63" customWidth="1"/>
    <col min="12050" max="12052" width="8.625" style="63" customWidth="1"/>
    <col min="12053" max="12053" width="1.125" style="63" customWidth="1"/>
    <col min="12054" max="12054" width="6.125" style="63" customWidth="1"/>
    <col min="12055" max="12056" width="8.625" style="63" customWidth="1"/>
    <col min="12057" max="12057" width="1.125" style="63" customWidth="1"/>
    <col min="12058" max="12058" width="6.125" style="63" customWidth="1"/>
    <col min="12059" max="12060" width="8.625" style="63" customWidth="1"/>
    <col min="12061" max="12061" width="1.125" style="63" customWidth="1"/>
    <col min="12062" max="12288" width="9" style="63"/>
    <col min="12289" max="12289" width="1.125" style="63" customWidth="1"/>
    <col min="12290" max="12290" width="6.125" style="63" customWidth="1"/>
    <col min="12291" max="12293" width="8.625" style="63" customWidth="1"/>
    <col min="12294" max="12294" width="1.125" style="63" customWidth="1"/>
    <col min="12295" max="12295" width="6.125" style="63" customWidth="1"/>
    <col min="12296" max="12298" width="8.625" style="63" customWidth="1"/>
    <col min="12299" max="12299" width="1.125" style="63" customWidth="1"/>
    <col min="12300" max="12300" width="6.125" style="63" customWidth="1"/>
    <col min="12301" max="12303" width="8.625" style="63" customWidth="1"/>
    <col min="12304" max="12304" width="1.125" style="63" customWidth="1"/>
    <col min="12305" max="12305" width="6.125" style="63" customWidth="1"/>
    <col min="12306" max="12308" width="8.625" style="63" customWidth="1"/>
    <col min="12309" max="12309" width="1.125" style="63" customWidth="1"/>
    <col min="12310" max="12310" width="6.125" style="63" customWidth="1"/>
    <col min="12311" max="12312" width="8.625" style="63" customWidth="1"/>
    <col min="12313" max="12313" width="1.125" style="63" customWidth="1"/>
    <col min="12314" max="12314" width="6.125" style="63" customWidth="1"/>
    <col min="12315" max="12316" width="8.625" style="63" customWidth="1"/>
    <col min="12317" max="12317" width="1.125" style="63" customWidth="1"/>
    <col min="12318" max="12544" width="9" style="63"/>
    <col min="12545" max="12545" width="1.125" style="63" customWidth="1"/>
    <col min="12546" max="12546" width="6.125" style="63" customWidth="1"/>
    <col min="12547" max="12549" width="8.625" style="63" customWidth="1"/>
    <col min="12550" max="12550" width="1.125" style="63" customWidth="1"/>
    <col min="12551" max="12551" width="6.125" style="63" customWidth="1"/>
    <col min="12552" max="12554" width="8.625" style="63" customWidth="1"/>
    <col min="12555" max="12555" width="1.125" style="63" customWidth="1"/>
    <col min="12556" max="12556" width="6.125" style="63" customWidth="1"/>
    <col min="12557" max="12559" width="8.625" style="63" customWidth="1"/>
    <col min="12560" max="12560" width="1.125" style="63" customWidth="1"/>
    <col min="12561" max="12561" width="6.125" style="63" customWidth="1"/>
    <col min="12562" max="12564" width="8.625" style="63" customWidth="1"/>
    <col min="12565" max="12565" width="1.125" style="63" customWidth="1"/>
    <col min="12566" max="12566" width="6.125" style="63" customWidth="1"/>
    <col min="12567" max="12568" width="8.625" style="63" customWidth="1"/>
    <col min="12569" max="12569" width="1.125" style="63" customWidth="1"/>
    <col min="12570" max="12570" width="6.125" style="63" customWidth="1"/>
    <col min="12571" max="12572" width="8.625" style="63" customWidth="1"/>
    <col min="12573" max="12573" width="1.125" style="63" customWidth="1"/>
    <col min="12574" max="12800" width="9" style="63"/>
    <col min="12801" max="12801" width="1.125" style="63" customWidth="1"/>
    <col min="12802" max="12802" width="6.125" style="63" customWidth="1"/>
    <col min="12803" max="12805" width="8.625" style="63" customWidth="1"/>
    <col min="12806" max="12806" width="1.125" style="63" customWidth="1"/>
    <col min="12807" max="12807" width="6.125" style="63" customWidth="1"/>
    <col min="12808" max="12810" width="8.625" style="63" customWidth="1"/>
    <col min="12811" max="12811" width="1.125" style="63" customWidth="1"/>
    <col min="12812" max="12812" width="6.125" style="63" customWidth="1"/>
    <col min="12813" max="12815" width="8.625" style="63" customWidth="1"/>
    <col min="12816" max="12816" width="1.125" style="63" customWidth="1"/>
    <col min="12817" max="12817" width="6.125" style="63" customWidth="1"/>
    <col min="12818" max="12820" width="8.625" style="63" customWidth="1"/>
    <col min="12821" max="12821" width="1.125" style="63" customWidth="1"/>
    <col min="12822" max="12822" width="6.125" style="63" customWidth="1"/>
    <col min="12823" max="12824" width="8.625" style="63" customWidth="1"/>
    <col min="12825" max="12825" width="1.125" style="63" customWidth="1"/>
    <col min="12826" max="12826" width="6.125" style="63" customWidth="1"/>
    <col min="12827" max="12828" width="8.625" style="63" customWidth="1"/>
    <col min="12829" max="12829" width="1.125" style="63" customWidth="1"/>
    <col min="12830" max="13056" width="9" style="63"/>
    <col min="13057" max="13057" width="1.125" style="63" customWidth="1"/>
    <col min="13058" max="13058" width="6.125" style="63" customWidth="1"/>
    <col min="13059" max="13061" width="8.625" style="63" customWidth="1"/>
    <col min="13062" max="13062" width="1.125" style="63" customWidth="1"/>
    <col min="13063" max="13063" width="6.125" style="63" customWidth="1"/>
    <col min="13064" max="13066" width="8.625" style="63" customWidth="1"/>
    <col min="13067" max="13067" width="1.125" style="63" customWidth="1"/>
    <col min="13068" max="13068" width="6.125" style="63" customWidth="1"/>
    <col min="13069" max="13071" width="8.625" style="63" customWidth="1"/>
    <col min="13072" max="13072" width="1.125" style="63" customWidth="1"/>
    <col min="13073" max="13073" width="6.125" style="63" customWidth="1"/>
    <col min="13074" max="13076" width="8.625" style="63" customWidth="1"/>
    <col min="13077" max="13077" width="1.125" style="63" customWidth="1"/>
    <col min="13078" max="13078" width="6.125" style="63" customWidth="1"/>
    <col min="13079" max="13080" width="8.625" style="63" customWidth="1"/>
    <col min="13081" max="13081" width="1.125" style="63" customWidth="1"/>
    <col min="13082" max="13082" width="6.125" style="63" customWidth="1"/>
    <col min="13083" max="13084" width="8.625" style="63" customWidth="1"/>
    <col min="13085" max="13085" width="1.125" style="63" customWidth="1"/>
    <col min="13086" max="13312" width="9" style="63"/>
    <col min="13313" max="13313" width="1.125" style="63" customWidth="1"/>
    <col min="13314" max="13314" width="6.125" style="63" customWidth="1"/>
    <col min="13315" max="13317" width="8.625" style="63" customWidth="1"/>
    <col min="13318" max="13318" width="1.125" style="63" customWidth="1"/>
    <col min="13319" max="13319" width="6.125" style="63" customWidth="1"/>
    <col min="13320" max="13322" width="8.625" style="63" customWidth="1"/>
    <col min="13323" max="13323" width="1.125" style="63" customWidth="1"/>
    <col min="13324" max="13324" width="6.125" style="63" customWidth="1"/>
    <col min="13325" max="13327" width="8.625" style="63" customWidth="1"/>
    <col min="13328" max="13328" width="1.125" style="63" customWidth="1"/>
    <col min="13329" max="13329" width="6.125" style="63" customWidth="1"/>
    <col min="13330" max="13332" width="8.625" style="63" customWidth="1"/>
    <col min="13333" max="13333" width="1.125" style="63" customWidth="1"/>
    <col min="13334" max="13334" width="6.125" style="63" customWidth="1"/>
    <col min="13335" max="13336" width="8.625" style="63" customWidth="1"/>
    <col min="13337" max="13337" width="1.125" style="63" customWidth="1"/>
    <col min="13338" max="13338" width="6.125" style="63" customWidth="1"/>
    <col min="13339" max="13340" width="8.625" style="63" customWidth="1"/>
    <col min="13341" max="13341" width="1.125" style="63" customWidth="1"/>
    <col min="13342" max="13568" width="9" style="63"/>
    <col min="13569" max="13569" width="1.125" style="63" customWidth="1"/>
    <col min="13570" max="13570" width="6.125" style="63" customWidth="1"/>
    <col min="13571" max="13573" width="8.625" style="63" customWidth="1"/>
    <col min="13574" max="13574" width="1.125" style="63" customWidth="1"/>
    <col min="13575" max="13575" width="6.125" style="63" customWidth="1"/>
    <col min="13576" max="13578" width="8.625" style="63" customWidth="1"/>
    <col min="13579" max="13579" width="1.125" style="63" customWidth="1"/>
    <col min="13580" max="13580" width="6.125" style="63" customWidth="1"/>
    <col min="13581" max="13583" width="8.625" style="63" customWidth="1"/>
    <col min="13584" max="13584" width="1.125" style="63" customWidth="1"/>
    <col min="13585" max="13585" width="6.125" style="63" customWidth="1"/>
    <col min="13586" max="13588" width="8.625" style="63" customWidth="1"/>
    <col min="13589" max="13589" width="1.125" style="63" customWidth="1"/>
    <col min="13590" max="13590" width="6.125" style="63" customWidth="1"/>
    <col min="13591" max="13592" width="8.625" style="63" customWidth="1"/>
    <col min="13593" max="13593" width="1.125" style="63" customWidth="1"/>
    <col min="13594" max="13594" width="6.125" style="63" customWidth="1"/>
    <col min="13595" max="13596" width="8.625" style="63" customWidth="1"/>
    <col min="13597" max="13597" width="1.125" style="63" customWidth="1"/>
    <col min="13598" max="13824" width="9" style="63"/>
    <col min="13825" max="13825" width="1.125" style="63" customWidth="1"/>
    <col min="13826" max="13826" width="6.125" style="63" customWidth="1"/>
    <col min="13827" max="13829" width="8.625" style="63" customWidth="1"/>
    <col min="13830" max="13830" width="1.125" style="63" customWidth="1"/>
    <col min="13831" max="13831" width="6.125" style="63" customWidth="1"/>
    <col min="13832" max="13834" width="8.625" style="63" customWidth="1"/>
    <col min="13835" max="13835" width="1.125" style="63" customWidth="1"/>
    <col min="13836" max="13836" width="6.125" style="63" customWidth="1"/>
    <col min="13837" max="13839" width="8.625" style="63" customWidth="1"/>
    <col min="13840" max="13840" width="1.125" style="63" customWidth="1"/>
    <col min="13841" max="13841" width="6.125" style="63" customWidth="1"/>
    <col min="13842" max="13844" width="8.625" style="63" customWidth="1"/>
    <col min="13845" max="13845" width="1.125" style="63" customWidth="1"/>
    <col min="13846" max="13846" width="6.125" style="63" customWidth="1"/>
    <col min="13847" max="13848" width="8.625" style="63" customWidth="1"/>
    <col min="13849" max="13849" width="1.125" style="63" customWidth="1"/>
    <col min="13850" max="13850" width="6.125" style="63" customWidth="1"/>
    <col min="13851" max="13852" width="8.625" style="63" customWidth="1"/>
    <col min="13853" max="13853" width="1.125" style="63" customWidth="1"/>
    <col min="13854" max="14080" width="9" style="63"/>
    <col min="14081" max="14081" width="1.125" style="63" customWidth="1"/>
    <col min="14082" max="14082" width="6.125" style="63" customWidth="1"/>
    <col min="14083" max="14085" width="8.625" style="63" customWidth="1"/>
    <col min="14086" max="14086" width="1.125" style="63" customWidth="1"/>
    <col min="14087" max="14087" width="6.125" style="63" customWidth="1"/>
    <col min="14088" max="14090" width="8.625" style="63" customWidth="1"/>
    <col min="14091" max="14091" width="1.125" style="63" customWidth="1"/>
    <col min="14092" max="14092" width="6.125" style="63" customWidth="1"/>
    <col min="14093" max="14095" width="8.625" style="63" customWidth="1"/>
    <col min="14096" max="14096" width="1.125" style="63" customWidth="1"/>
    <col min="14097" max="14097" width="6.125" style="63" customWidth="1"/>
    <col min="14098" max="14100" width="8.625" style="63" customWidth="1"/>
    <col min="14101" max="14101" width="1.125" style="63" customWidth="1"/>
    <col min="14102" max="14102" width="6.125" style="63" customWidth="1"/>
    <col min="14103" max="14104" width="8.625" style="63" customWidth="1"/>
    <col min="14105" max="14105" width="1.125" style="63" customWidth="1"/>
    <col min="14106" max="14106" width="6.125" style="63" customWidth="1"/>
    <col min="14107" max="14108" width="8.625" style="63" customWidth="1"/>
    <col min="14109" max="14109" width="1.125" style="63" customWidth="1"/>
    <col min="14110" max="14336" width="9" style="63"/>
    <col min="14337" max="14337" width="1.125" style="63" customWidth="1"/>
    <col min="14338" max="14338" width="6.125" style="63" customWidth="1"/>
    <col min="14339" max="14341" width="8.625" style="63" customWidth="1"/>
    <col min="14342" max="14342" width="1.125" style="63" customWidth="1"/>
    <col min="14343" max="14343" width="6.125" style="63" customWidth="1"/>
    <col min="14344" max="14346" width="8.625" style="63" customWidth="1"/>
    <col min="14347" max="14347" width="1.125" style="63" customWidth="1"/>
    <col min="14348" max="14348" width="6.125" style="63" customWidth="1"/>
    <col min="14349" max="14351" width="8.625" style="63" customWidth="1"/>
    <col min="14352" max="14352" width="1.125" style="63" customWidth="1"/>
    <col min="14353" max="14353" width="6.125" style="63" customWidth="1"/>
    <col min="14354" max="14356" width="8.625" style="63" customWidth="1"/>
    <col min="14357" max="14357" width="1.125" style="63" customWidth="1"/>
    <col min="14358" max="14358" width="6.125" style="63" customWidth="1"/>
    <col min="14359" max="14360" width="8.625" style="63" customWidth="1"/>
    <col min="14361" max="14361" width="1.125" style="63" customWidth="1"/>
    <col min="14362" max="14362" width="6.125" style="63" customWidth="1"/>
    <col min="14363" max="14364" width="8.625" style="63" customWidth="1"/>
    <col min="14365" max="14365" width="1.125" style="63" customWidth="1"/>
    <col min="14366" max="14592" width="9" style="63"/>
    <col min="14593" max="14593" width="1.125" style="63" customWidth="1"/>
    <col min="14594" max="14594" width="6.125" style="63" customWidth="1"/>
    <col min="14595" max="14597" width="8.625" style="63" customWidth="1"/>
    <col min="14598" max="14598" width="1.125" style="63" customWidth="1"/>
    <col min="14599" max="14599" width="6.125" style="63" customWidth="1"/>
    <col min="14600" max="14602" width="8.625" style="63" customWidth="1"/>
    <col min="14603" max="14603" width="1.125" style="63" customWidth="1"/>
    <col min="14604" max="14604" width="6.125" style="63" customWidth="1"/>
    <col min="14605" max="14607" width="8.625" style="63" customWidth="1"/>
    <col min="14608" max="14608" width="1.125" style="63" customWidth="1"/>
    <col min="14609" max="14609" width="6.125" style="63" customWidth="1"/>
    <col min="14610" max="14612" width="8.625" style="63" customWidth="1"/>
    <col min="14613" max="14613" width="1.125" style="63" customWidth="1"/>
    <col min="14614" max="14614" width="6.125" style="63" customWidth="1"/>
    <col min="14615" max="14616" width="8.625" style="63" customWidth="1"/>
    <col min="14617" max="14617" width="1.125" style="63" customWidth="1"/>
    <col min="14618" max="14618" width="6.125" style="63" customWidth="1"/>
    <col min="14619" max="14620" width="8.625" style="63" customWidth="1"/>
    <col min="14621" max="14621" width="1.125" style="63" customWidth="1"/>
    <col min="14622" max="14848" width="9" style="63"/>
    <col min="14849" max="14849" width="1.125" style="63" customWidth="1"/>
    <col min="14850" max="14850" width="6.125" style="63" customWidth="1"/>
    <col min="14851" max="14853" width="8.625" style="63" customWidth="1"/>
    <col min="14854" max="14854" width="1.125" style="63" customWidth="1"/>
    <col min="14855" max="14855" width="6.125" style="63" customWidth="1"/>
    <col min="14856" max="14858" width="8.625" style="63" customWidth="1"/>
    <col min="14859" max="14859" width="1.125" style="63" customWidth="1"/>
    <col min="14860" max="14860" width="6.125" style="63" customWidth="1"/>
    <col min="14861" max="14863" width="8.625" style="63" customWidth="1"/>
    <col min="14864" max="14864" width="1.125" style="63" customWidth="1"/>
    <col min="14865" max="14865" width="6.125" style="63" customWidth="1"/>
    <col min="14866" max="14868" width="8.625" style="63" customWidth="1"/>
    <col min="14869" max="14869" width="1.125" style="63" customWidth="1"/>
    <col min="14870" max="14870" width="6.125" style="63" customWidth="1"/>
    <col min="14871" max="14872" width="8.625" style="63" customWidth="1"/>
    <col min="14873" max="14873" width="1.125" style="63" customWidth="1"/>
    <col min="14874" max="14874" width="6.125" style="63" customWidth="1"/>
    <col min="14875" max="14876" width="8.625" style="63" customWidth="1"/>
    <col min="14877" max="14877" width="1.125" style="63" customWidth="1"/>
    <col min="14878" max="15104" width="9" style="63"/>
    <col min="15105" max="15105" width="1.125" style="63" customWidth="1"/>
    <col min="15106" max="15106" width="6.125" style="63" customWidth="1"/>
    <col min="15107" max="15109" width="8.625" style="63" customWidth="1"/>
    <col min="15110" max="15110" width="1.125" style="63" customWidth="1"/>
    <col min="15111" max="15111" width="6.125" style="63" customWidth="1"/>
    <col min="15112" max="15114" width="8.625" style="63" customWidth="1"/>
    <col min="15115" max="15115" width="1.125" style="63" customWidth="1"/>
    <col min="15116" max="15116" width="6.125" style="63" customWidth="1"/>
    <col min="15117" max="15119" width="8.625" style="63" customWidth="1"/>
    <col min="15120" max="15120" width="1.125" style="63" customWidth="1"/>
    <col min="15121" max="15121" width="6.125" style="63" customWidth="1"/>
    <col min="15122" max="15124" width="8.625" style="63" customWidth="1"/>
    <col min="15125" max="15125" width="1.125" style="63" customWidth="1"/>
    <col min="15126" max="15126" width="6.125" style="63" customWidth="1"/>
    <col min="15127" max="15128" width="8.625" style="63" customWidth="1"/>
    <col min="15129" max="15129" width="1.125" style="63" customWidth="1"/>
    <col min="15130" max="15130" width="6.125" style="63" customWidth="1"/>
    <col min="15131" max="15132" width="8.625" style="63" customWidth="1"/>
    <col min="15133" max="15133" width="1.125" style="63" customWidth="1"/>
    <col min="15134" max="15360" width="9" style="63"/>
    <col min="15361" max="15361" width="1.125" style="63" customWidth="1"/>
    <col min="15362" max="15362" width="6.125" style="63" customWidth="1"/>
    <col min="15363" max="15365" width="8.625" style="63" customWidth="1"/>
    <col min="15366" max="15366" width="1.125" style="63" customWidth="1"/>
    <col min="15367" max="15367" width="6.125" style="63" customWidth="1"/>
    <col min="15368" max="15370" width="8.625" style="63" customWidth="1"/>
    <col min="15371" max="15371" width="1.125" style="63" customWidth="1"/>
    <col min="15372" max="15372" width="6.125" style="63" customWidth="1"/>
    <col min="15373" max="15375" width="8.625" style="63" customWidth="1"/>
    <col min="15376" max="15376" width="1.125" style="63" customWidth="1"/>
    <col min="15377" max="15377" width="6.125" style="63" customWidth="1"/>
    <col min="15378" max="15380" width="8.625" style="63" customWidth="1"/>
    <col min="15381" max="15381" width="1.125" style="63" customWidth="1"/>
    <col min="15382" max="15382" width="6.125" style="63" customWidth="1"/>
    <col min="15383" max="15384" width="8.625" style="63" customWidth="1"/>
    <col min="15385" max="15385" width="1.125" style="63" customWidth="1"/>
    <col min="15386" max="15386" width="6.125" style="63" customWidth="1"/>
    <col min="15387" max="15388" width="8.625" style="63" customWidth="1"/>
    <col min="15389" max="15389" width="1.125" style="63" customWidth="1"/>
    <col min="15390" max="15616" width="9" style="63"/>
    <col min="15617" max="15617" width="1.125" style="63" customWidth="1"/>
    <col min="15618" max="15618" width="6.125" style="63" customWidth="1"/>
    <col min="15619" max="15621" width="8.625" style="63" customWidth="1"/>
    <col min="15622" max="15622" width="1.125" style="63" customWidth="1"/>
    <col min="15623" max="15623" width="6.125" style="63" customWidth="1"/>
    <col min="15624" max="15626" width="8.625" style="63" customWidth="1"/>
    <col min="15627" max="15627" width="1.125" style="63" customWidth="1"/>
    <col min="15628" max="15628" width="6.125" style="63" customWidth="1"/>
    <col min="15629" max="15631" width="8.625" style="63" customWidth="1"/>
    <col min="15632" max="15632" width="1.125" style="63" customWidth="1"/>
    <col min="15633" max="15633" width="6.125" style="63" customWidth="1"/>
    <col min="15634" max="15636" width="8.625" style="63" customWidth="1"/>
    <col min="15637" max="15637" width="1.125" style="63" customWidth="1"/>
    <col min="15638" max="15638" width="6.125" style="63" customWidth="1"/>
    <col min="15639" max="15640" width="8.625" style="63" customWidth="1"/>
    <col min="15641" max="15641" width="1.125" style="63" customWidth="1"/>
    <col min="15642" max="15642" width="6.125" style="63" customWidth="1"/>
    <col min="15643" max="15644" width="8.625" style="63" customWidth="1"/>
    <col min="15645" max="15645" width="1.125" style="63" customWidth="1"/>
    <col min="15646" max="15872" width="9" style="63"/>
    <col min="15873" max="15873" width="1.125" style="63" customWidth="1"/>
    <col min="15874" max="15874" width="6.125" style="63" customWidth="1"/>
    <col min="15875" max="15877" width="8.625" style="63" customWidth="1"/>
    <col min="15878" max="15878" width="1.125" style="63" customWidth="1"/>
    <col min="15879" max="15879" width="6.125" style="63" customWidth="1"/>
    <col min="15880" max="15882" width="8.625" style="63" customWidth="1"/>
    <col min="15883" max="15883" width="1.125" style="63" customWidth="1"/>
    <col min="15884" max="15884" width="6.125" style="63" customWidth="1"/>
    <col min="15885" max="15887" width="8.625" style="63" customWidth="1"/>
    <col min="15888" max="15888" width="1.125" style="63" customWidth="1"/>
    <col min="15889" max="15889" width="6.125" style="63" customWidth="1"/>
    <col min="15890" max="15892" width="8.625" style="63" customWidth="1"/>
    <col min="15893" max="15893" width="1.125" style="63" customWidth="1"/>
    <col min="15894" max="15894" width="6.125" style="63" customWidth="1"/>
    <col min="15895" max="15896" width="8.625" style="63" customWidth="1"/>
    <col min="15897" max="15897" width="1.125" style="63" customWidth="1"/>
    <col min="15898" max="15898" width="6.125" style="63" customWidth="1"/>
    <col min="15899" max="15900" width="8.625" style="63" customWidth="1"/>
    <col min="15901" max="15901" width="1.125" style="63" customWidth="1"/>
    <col min="15902" max="16128" width="9" style="63"/>
    <col min="16129" max="16129" width="1.125" style="63" customWidth="1"/>
    <col min="16130" max="16130" width="6.125" style="63" customWidth="1"/>
    <col min="16131" max="16133" width="8.625" style="63" customWidth="1"/>
    <col min="16134" max="16134" width="1.125" style="63" customWidth="1"/>
    <col min="16135" max="16135" width="6.125" style="63" customWidth="1"/>
    <col min="16136" max="16138" width="8.625" style="63" customWidth="1"/>
    <col min="16139" max="16139" width="1.125" style="63" customWidth="1"/>
    <col min="16140" max="16140" width="6.125" style="63" customWidth="1"/>
    <col min="16141" max="16143" width="8.625" style="63" customWidth="1"/>
    <col min="16144" max="16144" width="1.125" style="63" customWidth="1"/>
    <col min="16145" max="16145" width="6.125" style="63" customWidth="1"/>
    <col min="16146" max="16148" width="8.625" style="63" customWidth="1"/>
    <col min="16149" max="16149" width="1.125" style="63" customWidth="1"/>
    <col min="16150" max="16150" width="6.125" style="63" customWidth="1"/>
    <col min="16151" max="16152" width="8.625" style="63" customWidth="1"/>
    <col min="16153" max="16153" width="1.125" style="63" customWidth="1"/>
    <col min="16154" max="16154" width="6.125" style="63" customWidth="1"/>
    <col min="16155" max="16156" width="8.625" style="63" customWidth="1"/>
    <col min="16157" max="16157" width="1.125" style="63" customWidth="1"/>
    <col min="16158" max="16384" width="9" style="63"/>
  </cols>
  <sheetData>
    <row r="1" spans="1:28" s="64" customFormat="1" ht="17.25" x14ac:dyDescent="0.15">
      <c r="A1" s="63"/>
      <c r="B1" s="764" t="s">
        <v>59</v>
      </c>
      <c r="C1" s="764"/>
    </row>
    <row r="2" spans="1:28" s="64" customFormat="1" ht="12" customHeight="1" x14ac:dyDescent="0.2">
      <c r="B2" s="128" t="s">
        <v>60</v>
      </c>
      <c r="C2" s="765" t="s">
        <v>61</v>
      </c>
      <c r="D2" s="765"/>
      <c r="E2" s="129" t="s">
        <v>62</v>
      </c>
      <c r="F2" s="130"/>
      <c r="G2" s="128" t="s">
        <v>60</v>
      </c>
      <c r="H2" s="765" t="s">
        <v>63</v>
      </c>
      <c r="I2" s="765"/>
      <c r="J2" s="129" t="s">
        <v>62</v>
      </c>
      <c r="K2" s="130"/>
      <c r="L2" s="128" t="s">
        <v>60</v>
      </c>
      <c r="M2" s="765" t="s">
        <v>64</v>
      </c>
      <c r="N2" s="765"/>
      <c r="O2" s="129" t="s">
        <v>62</v>
      </c>
      <c r="P2" s="130"/>
      <c r="Q2" s="128" t="s">
        <v>60</v>
      </c>
      <c r="R2" s="765" t="s">
        <v>65</v>
      </c>
      <c r="S2" s="765"/>
      <c r="T2" s="129" t="s">
        <v>62</v>
      </c>
      <c r="U2" s="63"/>
      <c r="V2" s="767" t="s">
        <v>66</v>
      </c>
      <c r="W2" s="767"/>
      <c r="X2" s="129" t="s">
        <v>62</v>
      </c>
      <c r="Z2" s="767" t="s">
        <v>67</v>
      </c>
      <c r="AA2" s="767"/>
      <c r="AB2" s="129" t="s">
        <v>62</v>
      </c>
    </row>
    <row r="3" spans="1:28" s="64" customFormat="1" ht="12" customHeight="1" x14ac:dyDescent="0.15">
      <c r="B3" s="131" t="s">
        <v>68</v>
      </c>
      <c r="C3" s="132" t="s">
        <v>69</v>
      </c>
      <c r="D3" s="132" t="s">
        <v>70</v>
      </c>
      <c r="E3" s="132" t="s">
        <v>71</v>
      </c>
      <c r="F3" s="130"/>
      <c r="G3" s="131" t="s">
        <v>68</v>
      </c>
      <c r="H3" s="132" t="s">
        <v>69</v>
      </c>
      <c r="I3" s="132" t="s">
        <v>70</v>
      </c>
      <c r="J3" s="132" t="s">
        <v>71</v>
      </c>
      <c r="K3" s="130"/>
      <c r="L3" s="131" t="s">
        <v>68</v>
      </c>
      <c r="M3" s="132" t="s">
        <v>69</v>
      </c>
      <c r="N3" s="132" t="s">
        <v>70</v>
      </c>
      <c r="O3" s="132" t="s">
        <v>71</v>
      </c>
      <c r="P3" s="130"/>
      <c r="Q3" s="131" t="s">
        <v>68</v>
      </c>
      <c r="R3" s="132" t="s">
        <v>69</v>
      </c>
      <c r="S3" s="132" t="s">
        <v>70</v>
      </c>
      <c r="T3" s="132" t="s">
        <v>71</v>
      </c>
      <c r="U3" s="63"/>
      <c r="V3" s="133" t="s">
        <v>72</v>
      </c>
      <c r="W3" s="133" t="s">
        <v>73</v>
      </c>
      <c r="X3" s="133" t="s">
        <v>74</v>
      </c>
      <c r="Z3" s="133" t="s">
        <v>72</v>
      </c>
      <c r="AA3" s="133" t="s">
        <v>73</v>
      </c>
      <c r="AB3" s="133" t="s">
        <v>74</v>
      </c>
    </row>
    <row r="4" spans="1:28" s="64" customFormat="1" ht="12" customHeight="1" x14ac:dyDescent="0.15">
      <c r="B4" s="134">
        <v>10</v>
      </c>
      <c r="C4" s="135">
        <v>2.0099999999999998</v>
      </c>
      <c r="D4" s="135">
        <v>1.74</v>
      </c>
      <c r="E4" s="136">
        <f t="shared" ref="E4:E16" si="0">IF(D4="","",SQRT((C4^2)+(D4^2)))</f>
        <v>2.6585146228674383</v>
      </c>
      <c r="F4" s="137"/>
      <c r="G4" s="134">
        <v>10</v>
      </c>
      <c r="H4" s="135">
        <v>2.72</v>
      </c>
      <c r="I4" s="135">
        <v>3.5</v>
      </c>
      <c r="J4" s="136">
        <f t="shared" ref="J4:J16" si="1">IF(I4="","",SQRT((H4^2)+(I4^2)))</f>
        <v>4.4326515766525123</v>
      </c>
      <c r="K4" s="137"/>
      <c r="L4" s="134">
        <v>10</v>
      </c>
      <c r="M4" s="135">
        <v>1.92</v>
      </c>
      <c r="N4" s="135">
        <v>1.93</v>
      </c>
      <c r="O4" s="136">
        <f t="shared" ref="O4:O16" si="2">IF(N4="","",SQRT((M4^2)+(N4^2)))</f>
        <v>2.7223702907576697</v>
      </c>
      <c r="P4" s="137"/>
      <c r="Q4" s="134">
        <v>10</v>
      </c>
      <c r="R4" s="135">
        <v>2.72</v>
      </c>
      <c r="S4" s="135">
        <v>3.5</v>
      </c>
      <c r="T4" s="136">
        <f t="shared" ref="T4:T16" si="3">IF(S4="","",SQRT((R4^2)+(S4^2)))</f>
        <v>4.4326515766525123</v>
      </c>
      <c r="U4" s="63"/>
      <c r="V4" s="138" t="s">
        <v>75</v>
      </c>
      <c r="W4" s="138" t="s">
        <v>76</v>
      </c>
      <c r="X4" s="138" t="s">
        <v>77</v>
      </c>
      <c r="Z4" s="138" t="s">
        <v>75</v>
      </c>
      <c r="AA4" s="138" t="s">
        <v>78</v>
      </c>
      <c r="AB4" s="138" t="s">
        <v>77</v>
      </c>
    </row>
    <row r="5" spans="1:28" s="64" customFormat="1" ht="12" customHeight="1" x14ac:dyDescent="0.15">
      <c r="B5" s="134">
        <v>20</v>
      </c>
      <c r="C5" s="135">
        <v>1.77</v>
      </c>
      <c r="D5" s="135">
        <v>1.82</v>
      </c>
      <c r="E5" s="136">
        <f t="shared" si="0"/>
        <v>2.5387595396177245</v>
      </c>
      <c r="F5" s="137"/>
      <c r="G5" s="134">
        <v>20</v>
      </c>
      <c r="H5" s="135">
        <v>1.99</v>
      </c>
      <c r="I5" s="135">
        <v>4.6399999999999997</v>
      </c>
      <c r="J5" s="136">
        <f t="shared" si="1"/>
        <v>5.0487325142059172</v>
      </c>
      <c r="K5" s="137"/>
      <c r="L5" s="134">
        <v>20</v>
      </c>
      <c r="M5" s="135">
        <v>1.68</v>
      </c>
      <c r="N5" s="135">
        <v>2.04</v>
      </c>
      <c r="O5" s="136">
        <f t="shared" si="2"/>
        <v>2.6427258654654286</v>
      </c>
      <c r="P5" s="137"/>
      <c r="Q5" s="134">
        <v>20</v>
      </c>
      <c r="R5" s="135">
        <v>1.99</v>
      </c>
      <c r="S5" s="135">
        <v>4.6399999999999997</v>
      </c>
      <c r="T5" s="136">
        <f t="shared" si="3"/>
        <v>5.0487325142059172</v>
      </c>
      <c r="U5" s="63"/>
      <c r="V5" s="139"/>
      <c r="W5" s="140" t="s">
        <v>79</v>
      </c>
      <c r="X5" s="140" t="s">
        <v>79</v>
      </c>
      <c r="Z5" s="139"/>
      <c r="AA5" s="140" t="s">
        <v>79</v>
      </c>
      <c r="AB5" s="140" t="s">
        <v>79</v>
      </c>
    </row>
    <row r="6" spans="1:28" s="64" customFormat="1" ht="12" customHeight="1" x14ac:dyDescent="0.15">
      <c r="A6" s="63"/>
      <c r="B6" s="134">
        <v>30</v>
      </c>
      <c r="C6" s="135">
        <v>1.56</v>
      </c>
      <c r="D6" s="135">
        <v>2.37</v>
      </c>
      <c r="E6" s="136">
        <f t="shared" si="0"/>
        <v>2.8373403038761493</v>
      </c>
      <c r="F6" s="141"/>
      <c r="G6" s="134">
        <v>30</v>
      </c>
      <c r="H6" s="135">
        <v>1.56</v>
      </c>
      <c r="I6" s="135">
        <v>4.28</v>
      </c>
      <c r="J6" s="136">
        <f t="shared" si="1"/>
        <v>4.5554363128025406</v>
      </c>
      <c r="K6" s="141"/>
      <c r="L6" s="134">
        <v>30</v>
      </c>
      <c r="M6" s="135">
        <v>1.51</v>
      </c>
      <c r="N6" s="135">
        <v>2.6</v>
      </c>
      <c r="O6" s="136">
        <f t="shared" si="2"/>
        <v>3.0066759053812238</v>
      </c>
      <c r="P6" s="141"/>
      <c r="Q6" s="134">
        <v>30</v>
      </c>
      <c r="R6" s="135">
        <v>1.56</v>
      </c>
      <c r="S6" s="135">
        <v>4.28</v>
      </c>
      <c r="T6" s="136">
        <f t="shared" si="3"/>
        <v>4.5554363128025406</v>
      </c>
      <c r="U6" s="63"/>
      <c r="V6" s="142">
        <v>2</v>
      </c>
      <c r="W6" s="143">
        <v>10.7</v>
      </c>
      <c r="X6" s="143">
        <v>9.9199999999999997E-2</v>
      </c>
      <c r="Y6" s="63"/>
      <c r="Z6" s="142">
        <v>8</v>
      </c>
      <c r="AA6" s="143">
        <v>3.01</v>
      </c>
      <c r="AB6" s="143">
        <v>0.114</v>
      </c>
    </row>
    <row r="7" spans="1:28" s="64" customFormat="1" ht="12" customHeight="1" x14ac:dyDescent="0.15">
      <c r="A7" s="63"/>
      <c r="B7" s="134">
        <v>50</v>
      </c>
      <c r="C7" s="135">
        <v>1.43</v>
      </c>
      <c r="D7" s="135">
        <v>2.27</v>
      </c>
      <c r="E7" s="136">
        <f t="shared" si="0"/>
        <v>2.6828715958837837</v>
      </c>
      <c r="F7" s="141"/>
      <c r="G7" s="134">
        <v>50</v>
      </c>
      <c r="H7" s="135">
        <v>1.81</v>
      </c>
      <c r="I7" s="135">
        <v>3.54</v>
      </c>
      <c r="J7" s="136">
        <f t="shared" si="1"/>
        <v>3.9758898375080767</v>
      </c>
      <c r="K7" s="141"/>
      <c r="L7" s="134">
        <v>50</v>
      </c>
      <c r="M7" s="135">
        <v>1.39</v>
      </c>
      <c r="N7" s="135">
        <v>2.5499999999999998</v>
      </c>
      <c r="O7" s="136">
        <f t="shared" si="2"/>
        <v>2.90423828223512</v>
      </c>
      <c r="P7" s="141"/>
      <c r="Q7" s="134">
        <v>50</v>
      </c>
      <c r="R7" s="135">
        <v>1.81</v>
      </c>
      <c r="S7" s="135">
        <v>3.54</v>
      </c>
      <c r="T7" s="136">
        <f t="shared" si="3"/>
        <v>3.9758898375080767</v>
      </c>
      <c r="U7" s="63"/>
      <c r="V7" s="142">
        <v>3.5</v>
      </c>
      <c r="W7" s="143">
        <v>6.02</v>
      </c>
      <c r="X7" s="143">
        <v>9.1399999999999995E-2</v>
      </c>
      <c r="Y7" s="63"/>
      <c r="Z7" s="142">
        <v>14</v>
      </c>
      <c r="AA7" s="143">
        <v>1.71</v>
      </c>
      <c r="AB7" s="143">
        <v>0.107</v>
      </c>
    </row>
    <row r="8" spans="1:28" s="64" customFormat="1" ht="12" customHeight="1" x14ac:dyDescent="0.15">
      <c r="A8" s="63"/>
      <c r="B8" s="134">
        <v>75</v>
      </c>
      <c r="C8" s="135">
        <v>1.53</v>
      </c>
      <c r="D8" s="135">
        <v>1.95</v>
      </c>
      <c r="E8" s="136">
        <f t="shared" si="0"/>
        <v>2.4785883078881819</v>
      </c>
      <c r="F8" s="141"/>
      <c r="G8" s="134">
        <v>75</v>
      </c>
      <c r="H8" s="135">
        <v>1.54</v>
      </c>
      <c r="I8" s="135">
        <v>3.6</v>
      </c>
      <c r="J8" s="136">
        <f t="shared" si="1"/>
        <v>3.915558708537008</v>
      </c>
      <c r="K8" s="141"/>
      <c r="L8" s="134">
        <v>75</v>
      </c>
      <c r="M8" s="135">
        <v>1.43</v>
      </c>
      <c r="N8" s="135">
        <v>2.15</v>
      </c>
      <c r="O8" s="136">
        <f t="shared" si="2"/>
        <v>2.5821309029559285</v>
      </c>
      <c r="P8" s="141"/>
      <c r="Q8" s="134">
        <v>75</v>
      </c>
      <c r="R8" s="135">
        <v>1.54</v>
      </c>
      <c r="S8" s="135">
        <v>3.6</v>
      </c>
      <c r="T8" s="136">
        <f t="shared" si="3"/>
        <v>3.915558708537008</v>
      </c>
      <c r="U8" s="63"/>
      <c r="V8" s="142">
        <v>5.5</v>
      </c>
      <c r="W8" s="143">
        <v>3.85</v>
      </c>
      <c r="X8" s="143">
        <v>9.1399999999999995E-2</v>
      </c>
      <c r="Y8" s="63"/>
      <c r="Z8" s="142">
        <v>22</v>
      </c>
      <c r="AA8" s="143">
        <v>1.08</v>
      </c>
      <c r="AB8" s="143">
        <v>0.10199999999999999</v>
      </c>
    </row>
    <row r="9" spans="1:28" s="64" customFormat="1" ht="12" customHeight="1" x14ac:dyDescent="0.15">
      <c r="A9" s="63"/>
      <c r="B9" s="134">
        <v>100</v>
      </c>
      <c r="C9" s="135">
        <v>1.54</v>
      </c>
      <c r="D9" s="135">
        <v>2.29</v>
      </c>
      <c r="E9" s="136">
        <f t="shared" si="0"/>
        <v>2.7596557756357947</v>
      </c>
      <c r="F9" s="141"/>
      <c r="G9" s="134">
        <v>100</v>
      </c>
      <c r="H9" s="135">
        <v>1.57</v>
      </c>
      <c r="I9" s="135">
        <v>3.88</v>
      </c>
      <c r="J9" s="136">
        <f t="shared" si="1"/>
        <v>4.1856062882215763</v>
      </c>
      <c r="K9" s="141"/>
      <c r="L9" s="134">
        <v>100</v>
      </c>
      <c r="M9" s="135">
        <v>1.42</v>
      </c>
      <c r="N9" s="135">
        <v>2.54</v>
      </c>
      <c r="O9" s="136">
        <f t="shared" si="2"/>
        <v>2.9099828178186895</v>
      </c>
      <c r="P9" s="141"/>
      <c r="Q9" s="134">
        <v>100</v>
      </c>
      <c r="R9" s="135">
        <v>1.57</v>
      </c>
      <c r="S9" s="135">
        <v>3.88</v>
      </c>
      <c r="T9" s="136">
        <f t="shared" si="3"/>
        <v>4.1856062882215763</v>
      </c>
      <c r="U9" s="63"/>
      <c r="V9" s="142">
        <v>8</v>
      </c>
      <c r="W9" s="143">
        <v>2.67</v>
      </c>
      <c r="X9" s="143">
        <v>9.1399999999999995E-2</v>
      </c>
      <c r="Y9" s="63"/>
      <c r="Z9" s="142">
        <v>38</v>
      </c>
      <c r="AA9" s="143">
        <v>0.626</v>
      </c>
      <c r="AB9" s="143">
        <v>9.3899999999999997E-2</v>
      </c>
    </row>
    <row r="10" spans="1:28" s="64" customFormat="1" ht="12" customHeight="1" x14ac:dyDescent="0.15">
      <c r="A10" s="63"/>
      <c r="B10" s="134">
        <v>150</v>
      </c>
      <c r="C10" s="135">
        <v>1.41</v>
      </c>
      <c r="D10" s="135">
        <v>2.36</v>
      </c>
      <c r="E10" s="136">
        <f t="shared" si="0"/>
        <v>2.7491271342009629</v>
      </c>
      <c r="F10" s="141"/>
      <c r="G10" s="134">
        <v>150</v>
      </c>
      <c r="H10" s="135">
        <v>1.41</v>
      </c>
      <c r="I10" s="135">
        <v>4.33</v>
      </c>
      <c r="J10" s="136">
        <f t="shared" si="1"/>
        <v>4.5537896306263423</v>
      </c>
      <c r="K10" s="141"/>
      <c r="L10" s="134">
        <v>150</v>
      </c>
      <c r="M10" s="135">
        <v>1.37</v>
      </c>
      <c r="N10" s="135">
        <v>2.73</v>
      </c>
      <c r="O10" s="136">
        <f t="shared" si="2"/>
        <v>3.0544721311545797</v>
      </c>
      <c r="P10" s="141"/>
      <c r="Q10" s="134">
        <v>150</v>
      </c>
      <c r="R10" s="135">
        <v>1.41</v>
      </c>
      <c r="S10" s="135">
        <v>4.33</v>
      </c>
      <c r="T10" s="136">
        <f t="shared" si="3"/>
        <v>4.5537896306263423</v>
      </c>
      <c r="U10" s="63"/>
      <c r="V10" s="142">
        <v>14</v>
      </c>
      <c r="W10" s="143">
        <v>1.5</v>
      </c>
      <c r="X10" s="143">
        <v>8.3000000000000004E-2</v>
      </c>
      <c r="Y10" s="63"/>
      <c r="Z10" s="142">
        <v>60</v>
      </c>
      <c r="AA10" s="143">
        <v>0.39700000000000002</v>
      </c>
      <c r="AB10" s="143">
        <v>9.0499999999999997E-2</v>
      </c>
    </row>
    <row r="11" spans="1:28" s="64" customFormat="1" ht="12" customHeight="1" x14ac:dyDescent="0.15">
      <c r="A11" s="63"/>
      <c r="B11" s="134">
        <v>200</v>
      </c>
      <c r="C11" s="135">
        <v>1.35</v>
      </c>
      <c r="D11" s="135">
        <v>2.7</v>
      </c>
      <c r="E11" s="136">
        <f t="shared" si="0"/>
        <v>3.0186917696247164</v>
      </c>
      <c r="F11" s="141"/>
      <c r="G11" s="134">
        <v>200</v>
      </c>
      <c r="H11" s="135">
        <v>1.35</v>
      </c>
      <c r="I11" s="135">
        <v>4.88</v>
      </c>
      <c r="J11" s="136">
        <f t="shared" si="1"/>
        <v>5.0632894446199694</v>
      </c>
      <c r="K11" s="141"/>
      <c r="L11" s="134">
        <v>200</v>
      </c>
      <c r="M11" s="135">
        <v>1.31</v>
      </c>
      <c r="N11" s="135">
        <v>3.14</v>
      </c>
      <c r="O11" s="136">
        <f t="shared" si="2"/>
        <v>3.4023080401398107</v>
      </c>
      <c r="P11" s="141"/>
      <c r="Q11" s="134">
        <v>200</v>
      </c>
      <c r="R11" s="135">
        <v>1.35</v>
      </c>
      <c r="S11" s="135">
        <v>4.88</v>
      </c>
      <c r="T11" s="136">
        <f t="shared" si="3"/>
        <v>5.0632894446199694</v>
      </c>
      <c r="U11" s="63"/>
      <c r="V11" s="142">
        <v>22</v>
      </c>
      <c r="W11" s="143">
        <v>0.95299999999999996</v>
      </c>
      <c r="X11" s="143">
        <v>8.5800000000000001E-2</v>
      </c>
      <c r="Y11" s="63"/>
      <c r="Z11" s="142">
        <v>100</v>
      </c>
      <c r="AA11" s="143">
        <v>0.24</v>
      </c>
      <c r="AB11" s="143">
        <v>8.8300000000000003E-2</v>
      </c>
    </row>
    <row r="12" spans="1:28" s="64" customFormat="1" ht="12" customHeight="1" x14ac:dyDescent="0.15">
      <c r="A12" s="63"/>
      <c r="B12" s="134">
        <v>300</v>
      </c>
      <c r="C12" s="135">
        <v>1.31</v>
      </c>
      <c r="D12" s="135">
        <v>3.7</v>
      </c>
      <c r="E12" s="136">
        <f t="shared" si="0"/>
        <v>3.9250605090877264</v>
      </c>
      <c r="F12" s="141"/>
      <c r="G12" s="134">
        <v>300</v>
      </c>
      <c r="H12" s="135">
        <v>1.1100000000000001</v>
      </c>
      <c r="I12" s="135">
        <v>4.99</v>
      </c>
      <c r="J12" s="136">
        <f t="shared" si="1"/>
        <v>5.1119663535668938</v>
      </c>
      <c r="K12" s="141"/>
      <c r="L12" s="134">
        <v>300</v>
      </c>
      <c r="M12" s="135">
        <v>1.29</v>
      </c>
      <c r="N12" s="135">
        <v>4.28</v>
      </c>
      <c r="O12" s="136">
        <f t="shared" si="2"/>
        <v>4.4701789673345296</v>
      </c>
      <c r="P12" s="141"/>
      <c r="Q12" s="134">
        <v>300</v>
      </c>
      <c r="R12" s="135">
        <v>1.1100000000000001</v>
      </c>
      <c r="S12" s="135">
        <v>4.99</v>
      </c>
      <c r="T12" s="136">
        <f t="shared" si="3"/>
        <v>5.1119663535668938</v>
      </c>
      <c r="U12" s="63"/>
      <c r="V12" s="142">
        <v>38</v>
      </c>
      <c r="W12" s="143">
        <v>0.56299999999999994</v>
      </c>
      <c r="X12" s="143">
        <v>7.6100000000000001E-2</v>
      </c>
      <c r="Y12" s="63"/>
      <c r="Z12" s="142">
        <v>150</v>
      </c>
      <c r="AA12" s="143">
        <v>0.159</v>
      </c>
      <c r="AB12" s="143">
        <v>8.3900000000000002E-2</v>
      </c>
    </row>
    <row r="13" spans="1:28" s="64" customFormat="1" ht="12" customHeight="1" x14ac:dyDescent="0.15">
      <c r="A13" s="63"/>
      <c r="B13" s="134">
        <v>500</v>
      </c>
      <c r="C13" s="135">
        <v>1.1100000000000001</v>
      </c>
      <c r="D13" s="135">
        <v>4.1100000000000003</v>
      </c>
      <c r="E13" s="136">
        <f t="shared" si="0"/>
        <v>4.2572526352097082</v>
      </c>
      <c r="F13" s="141"/>
      <c r="G13" s="134"/>
      <c r="H13" s="135"/>
      <c r="I13" s="135"/>
      <c r="J13" s="136" t="str">
        <f t="shared" si="1"/>
        <v/>
      </c>
      <c r="K13" s="141"/>
      <c r="L13" s="134">
        <v>500</v>
      </c>
      <c r="M13" s="135">
        <v>1.1000000000000001</v>
      </c>
      <c r="N13" s="135">
        <v>4.75</v>
      </c>
      <c r="O13" s="136">
        <f t="shared" si="2"/>
        <v>4.8757050772170381</v>
      </c>
      <c r="P13" s="141"/>
      <c r="Q13" s="134"/>
      <c r="R13" s="135"/>
      <c r="S13" s="135"/>
      <c r="T13" s="136" t="str">
        <f t="shared" si="3"/>
        <v/>
      </c>
      <c r="U13" s="63"/>
      <c r="V13" s="142">
        <v>60</v>
      </c>
      <c r="W13" s="143">
        <v>0.35099999999999998</v>
      </c>
      <c r="X13" s="143">
        <v>7.8600000000000003E-2</v>
      </c>
      <c r="Y13" s="63"/>
      <c r="Z13" s="142">
        <v>200</v>
      </c>
      <c r="AA13" s="143">
        <v>0.121</v>
      </c>
      <c r="AB13" s="143">
        <v>8.4500000000000006E-2</v>
      </c>
    </row>
    <row r="14" spans="1:28" s="64" customFormat="1" ht="12" customHeight="1" x14ac:dyDescent="0.15">
      <c r="A14" s="63"/>
      <c r="B14" s="134"/>
      <c r="C14" s="135"/>
      <c r="D14" s="135"/>
      <c r="E14" s="136" t="str">
        <f t="shared" si="0"/>
        <v/>
      </c>
      <c r="F14" s="141"/>
      <c r="G14" s="134"/>
      <c r="H14" s="135"/>
      <c r="I14" s="135"/>
      <c r="J14" s="136" t="str">
        <f t="shared" si="1"/>
        <v/>
      </c>
      <c r="K14" s="141"/>
      <c r="L14" s="134"/>
      <c r="M14" s="135"/>
      <c r="N14" s="135"/>
      <c r="O14" s="136" t="str">
        <f t="shared" si="2"/>
        <v/>
      </c>
      <c r="P14" s="141"/>
      <c r="Q14" s="134"/>
      <c r="R14" s="135"/>
      <c r="S14" s="135"/>
      <c r="T14" s="136" t="str">
        <f t="shared" si="3"/>
        <v/>
      </c>
      <c r="U14" s="63"/>
      <c r="V14" s="142">
        <v>100</v>
      </c>
      <c r="W14" s="143">
        <v>0.20899999999999999</v>
      </c>
      <c r="X14" s="143">
        <v>7.6100000000000001E-2</v>
      </c>
      <c r="Y14" s="63"/>
      <c r="Z14" s="142">
        <v>250</v>
      </c>
      <c r="AA14" s="143">
        <v>9.8100000000000007E-2</v>
      </c>
      <c r="AB14" s="143">
        <v>8.2600000000000007E-2</v>
      </c>
    </row>
    <row r="15" spans="1:28" s="64" customFormat="1" ht="12" customHeight="1" x14ac:dyDescent="0.15">
      <c r="A15" s="63"/>
      <c r="B15" s="134"/>
      <c r="C15" s="135"/>
      <c r="D15" s="135"/>
      <c r="E15" s="136" t="str">
        <f t="shared" si="0"/>
        <v/>
      </c>
      <c r="F15" s="141"/>
      <c r="G15" s="134"/>
      <c r="H15" s="135"/>
      <c r="I15" s="135"/>
      <c r="J15" s="136" t="str">
        <f t="shared" si="1"/>
        <v/>
      </c>
      <c r="K15" s="141"/>
      <c r="L15" s="134"/>
      <c r="M15" s="135"/>
      <c r="N15" s="135"/>
      <c r="O15" s="136" t="str">
        <f t="shared" si="2"/>
        <v/>
      </c>
      <c r="P15" s="141"/>
      <c r="Q15" s="134"/>
      <c r="R15" s="135"/>
      <c r="S15" s="135"/>
      <c r="T15" s="136" t="str">
        <f t="shared" si="3"/>
        <v/>
      </c>
      <c r="U15" s="63"/>
      <c r="V15" s="142">
        <v>150</v>
      </c>
      <c r="W15" s="143">
        <v>0.13700000000000001</v>
      </c>
      <c r="X15" s="143">
        <v>7.4399999999999994E-2</v>
      </c>
      <c r="Y15" s="63"/>
      <c r="Z15" s="142">
        <v>325</v>
      </c>
      <c r="AA15" s="143">
        <v>7.6499999999999999E-2</v>
      </c>
      <c r="AB15" s="143">
        <v>8.0699999999999994E-2</v>
      </c>
    </row>
    <row r="16" spans="1:28" s="64" customFormat="1" ht="12" customHeight="1" x14ac:dyDescent="0.15">
      <c r="A16" s="63"/>
      <c r="B16" s="134"/>
      <c r="C16" s="135"/>
      <c r="D16" s="135"/>
      <c r="E16" s="136" t="str">
        <f t="shared" si="0"/>
        <v/>
      </c>
      <c r="F16" s="141"/>
      <c r="G16" s="134"/>
      <c r="H16" s="135"/>
      <c r="I16" s="135"/>
      <c r="J16" s="136" t="str">
        <f t="shared" si="1"/>
        <v/>
      </c>
      <c r="K16" s="141"/>
      <c r="L16" s="134"/>
      <c r="M16" s="135"/>
      <c r="N16" s="135"/>
      <c r="O16" s="136" t="str">
        <f t="shared" si="2"/>
        <v/>
      </c>
      <c r="P16" s="141"/>
      <c r="Q16" s="134"/>
      <c r="R16" s="135"/>
      <c r="S16" s="135"/>
      <c r="T16" s="136" t="str">
        <f t="shared" si="3"/>
        <v/>
      </c>
      <c r="U16" s="63"/>
      <c r="V16" s="142">
        <v>200</v>
      </c>
      <c r="W16" s="143">
        <v>0.107</v>
      </c>
      <c r="X16" s="143">
        <v>7.3999999999999996E-2</v>
      </c>
      <c r="Y16" s="63"/>
      <c r="Z16" s="142">
        <v>400</v>
      </c>
      <c r="AA16" s="143">
        <v>6.3399999999999998E-2</v>
      </c>
      <c r="AB16" s="143">
        <v>7.9200000000000007E-2</v>
      </c>
    </row>
    <row r="17" spans="1:30" s="64" customFormat="1" ht="12" customHeight="1" x14ac:dyDescent="0.15">
      <c r="A17" s="63"/>
      <c r="B17" s="141"/>
      <c r="C17" s="141"/>
      <c r="D17" s="141"/>
      <c r="E17" s="141"/>
      <c r="F17" s="141"/>
      <c r="G17" s="141"/>
      <c r="H17" s="141"/>
      <c r="I17" s="141"/>
      <c r="J17" s="141"/>
      <c r="K17" s="141"/>
      <c r="L17" s="141"/>
      <c r="M17" s="141"/>
      <c r="N17" s="141"/>
      <c r="O17" s="141"/>
      <c r="P17" s="141"/>
      <c r="Q17" s="141"/>
      <c r="R17" s="141"/>
      <c r="S17" s="141"/>
      <c r="T17" s="141"/>
      <c r="U17" s="63"/>
      <c r="V17" s="142">
        <v>250</v>
      </c>
      <c r="W17" s="143">
        <v>8.4000000000000005E-2</v>
      </c>
      <c r="X17" s="143">
        <v>7.2400000000000006E-2</v>
      </c>
      <c r="Y17" s="63"/>
      <c r="Z17" s="142">
        <v>500</v>
      </c>
      <c r="AA17" s="143">
        <v>5.1999999999999998E-2</v>
      </c>
      <c r="AB17" s="143">
        <v>7.9500000000000001E-2</v>
      </c>
    </row>
    <row r="18" spans="1:30" s="64" customFormat="1" ht="12" customHeight="1" x14ac:dyDescent="0.2">
      <c r="A18" s="63"/>
      <c r="B18" s="128" t="s">
        <v>60</v>
      </c>
      <c r="C18" s="765" t="s">
        <v>80</v>
      </c>
      <c r="D18" s="765"/>
      <c r="E18" s="129" t="s">
        <v>62</v>
      </c>
      <c r="F18" s="141"/>
      <c r="G18" s="128" t="s">
        <v>60</v>
      </c>
      <c r="H18" s="765" t="s">
        <v>81</v>
      </c>
      <c r="I18" s="765"/>
      <c r="J18" s="129" t="s">
        <v>62</v>
      </c>
      <c r="K18" s="141"/>
      <c r="L18" s="128" t="s">
        <v>60</v>
      </c>
      <c r="M18" s="765" t="s">
        <v>82</v>
      </c>
      <c r="N18" s="765"/>
      <c r="O18" s="129" t="s">
        <v>62</v>
      </c>
      <c r="P18" s="141"/>
      <c r="Q18" s="128" t="s">
        <v>60</v>
      </c>
      <c r="R18" s="765" t="s">
        <v>83</v>
      </c>
      <c r="S18" s="765"/>
      <c r="T18" s="129" t="s">
        <v>62</v>
      </c>
      <c r="U18" s="63"/>
      <c r="V18" s="142">
        <v>325</v>
      </c>
      <c r="W18" s="143">
        <v>6.6600000000000006E-2</v>
      </c>
      <c r="X18" s="143">
        <v>7.1900000000000006E-2</v>
      </c>
      <c r="Y18" s="63"/>
      <c r="Z18" s="142">
        <v>600</v>
      </c>
      <c r="AA18" s="143">
        <v>4.48E-2</v>
      </c>
      <c r="AB18" s="143">
        <v>7.85E-2</v>
      </c>
    </row>
    <row r="19" spans="1:30" s="64" customFormat="1" ht="12" customHeight="1" x14ac:dyDescent="0.15">
      <c r="A19" s="63"/>
      <c r="B19" s="131" t="s">
        <v>68</v>
      </c>
      <c r="C19" s="132" t="s">
        <v>69</v>
      </c>
      <c r="D19" s="132" t="s">
        <v>70</v>
      </c>
      <c r="E19" s="132" t="s">
        <v>71</v>
      </c>
      <c r="F19" s="141"/>
      <c r="G19" s="131" t="s">
        <v>68</v>
      </c>
      <c r="H19" s="132" t="s">
        <v>69</v>
      </c>
      <c r="I19" s="132" t="s">
        <v>70</v>
      </c>
      <c r="J19" s="132" t="s">
        <v>71</v>
      </c>
      <c r="K19" s="141"/>
      <c r="L19" s="131" t="s">
        <v>68</v>
      </c>
      <c r="M19" s="132" t="s">
        <v>69</v>
      </c>
      <c r="N19" s="132" t="s">
        <v>70</v>
      </c>
      <c r="O19" s="132" t="s">
        <v>71</v>
      </c>
      <c r="P19" s="141"/>
      <c r="Q19" s="131" t="s">
        <v>68</v>
      </c>
      <c r="R19" s="132" t="s">
        <v>69</v>
      </c>
      <c r="S19" s="132" t="s">
        <v>70</v>
      </c>
      <c r="T19" s="132" t="s">
        <v>71</v>
      </c>
      <c r="U19" s="63"/>
      <c r="V19" s="142"/>
      <c r="W19" s="143"/>
      <c r="X19" s="143"/>
      <c r="Y19" s="63"/>
      <c r="Z19" s="142"/>
      <c r="AA19" s="143"/>
      <c r="AB19" s="143"/>
    </row>
    <row r="20" spans="1:30" s="64" customFormat="1" ht="12" customHeight="1" x14ac:dyDescent="0.15">
      <c r="A20" s="63"/>
      <c r="B20" s="134"/>
      <c r="C20" s="135"/>
      <c r="D20" s="135"/>
      <c r="E20" s="136" t="str">
        <f t="shared" ref="E20:E34" si="4">IF(D20="","",SQRT((C20^2)+(D20^2)))</f>
        <v/>
      </c>
      <c r="F20" s="141"/>
      <c r="G20" s="134"/>
      <c r="H20" s="135"/>
      <c r="I20" s="135"/>
      <c r="J20" s="136" t="str">
        <f t="shared" ref="J20:J34" si="5">IF(I20="","",SQRT((H20^2)+(I20^2)))</f>
        <v/>
      </c>
      <c r="K20" s="141"/>
      <c r="L20" s="134"/>
      <c r="M20" s="135"/>
      <c r="N20" s="135"/>
      <c r="O20" s="136" t="str">
        <f t="shared" ref="O20:O34" si="6">IF(N20="","",SQRT((M20^2)+(N20^2)))</f>
        <v/>
      </c>
      <c r="P20" s="141"/>
      <c r="Q20" s="134"/>
      <c r="R20" s="135"/>
      <c r="S20" s="135"/>
      <c r="T20" s="136" t="str">
        <f t="shared" ref="T20:T34" si="7">IF(S20="","",SQRT((R20^2)+(S20^2)))</f>
        <v/>
      </c>
      <c r="U20" s="63"/>
      <c r="V20" s="142"/>
      <c r="W20" s="143"/>
      <c r="X20" s="143"/>
      <c r="Y20" s="63"/>
      <c r="Z20" s="142"/>
      <c r="AA20" s="143"/>
      <c r="AB20" s="143"/>
    </row>
    <row r="21" spans="1:30" s="64" customFormat="1" ht="12" customHeight="1" x14ac:dyDescent="0.15">
      <c r="A21" s="63"/>
      <c r="B21" s="134">
        <v>20</v>
      </c>
      <c r="C21" s="135">
        <v>2.14</v>
      </c>
      <c r="D21" s="135">
        <v>0.98</v>
      </c>
      <c r="E21" s="136">
        <f t="shared" si="4"/>
        <v>2.3537204591879641</v>
      </c>
      <c r="F21" s="141"/>
      <c r="G21" s="134">
        <v>20</v>
      </c>
      <c r="H21" s="135">
        <v>3.39</v>
      </c>
      <c r="I21" s="135">
        <v>2.82</v>
      </c>
      <c r="J21" s="136">
        <f t="shared" si="5"/>
        <v>4.409591817844368</v>
      </c>
      <c r="K21" s="141"/>
      <c r="L21" s="134">
        <v>20</v>
      </c>
      <c r="M21" s="135">
        <v>1.97</v>
      </c>
      <c r="N21" s="135">
        <v>1.01</v>
      </c>
      <c r="O21" s="136">
        <f t="shared" si="6"/>
        <v>2.213820227570432</v>
      </c>
      <c r="P21" s="141"/>
      <c r="Q21" s="134">
        <v>20</v>
      </c>
      <c r="R21" s="135">
        <v>3.16</v>
      </c>
      <c r="S21" s="135">
        <v>3.03</v>
      </c>
      <c r="T21" s="136">
        <f t="shared" si="7"/>
        <v>4.3779561441384951</v>
      </c>
      <c r="U21" s="63"/>
      <c r="V21" s="142"/>
      <c r="W21" s="143"/>
      <c r="X21" s="143"/>
      <c r="Y21" s="63"/>
      <c r="Z21" s="142"/>
      <c r="AA21" s="143"/>
      <c r="AB21" s="143"/>
    </row>
    <row r="22" spans="1:30" s="64" customFormat="1" ht="12" customHeight="1" x14ac:dyDescent="0.15">
      <c r="A22" s="63"/>
      <c r="B22" s="134">
        <v>30</v>
      </c>
      <c r="C22" s="135">
        <v>1.91</v>
      </c>
      <c r="D22" s="135">
        <v>1.0900000000000001</v>
      </c>
      <c r="E22" s="136">
        <f t="shared" si="4"/>
        <v>2.1991361940543839</v>
      </c>
      <c r="F22" s="141"/>
      <c r="G22" s="134">
        <v>30</v>
      </c>
      <c r="H22" s="135">
        <v>2.83</v>
      </c>
      <c r="I22" s="135">
        <v>2.4900000000000002</v>
      </c>
      <c r="J22" s="136">
        <f t="shared" si="5"/>
        <v>3.7694827231332422</v>
      </c>
      <c r="K22" s="141"/>
      <c r="L22" s="134">
        <v>30</v>
      </c>
      <c r="M22" s="135">
        <v>1.78</v>
      </c>
      <c r="N22" s="135">
        <v>1.24</v>
      </c>
      <c r="O22" s="136">
        <f t="shared" si="6"/>
        <v>2.1693316943243142</v>
      </c>
      <c r="P22" s="141"/>
      <c r="Q22" s="134">
        <v>30</v>
      </c>
      <c r="R22" s="135">
        <v>2.84</v>
      </c>
      <c r="S22" s="135">
        <v>3.11</v>
      </c>
      <c r="T22" s="136">
        <f t="shared" si="7"/>
        <v>4.2116148921761587</v>
      </c>
      <c r="U22" s="63"/>
      <c r="V22" s="144"/>
      <c r="W22" s="145"/>
      <c r="X22" s="145"/>
      <c r="Y22" s="63"/>
      <c r="Z22" s="144"/>
      <c r="AA22" s="145"/>
      <c r="AB22" s="145"/>
    </row>
    <row r="23" spans="1:30" s="64" customFormat="1" ht="12" customHeight="1" x14ac:dyDescent="0.2">
      <c r="A23" s="63"/>
      <c r="B23" s="134">
        <v>50</v>
      </c>
      <c r="C23" s="135">
        <v>1.81</v>
      </c>
      <c r="D23" s="135">
        <v>1.31</v>
      </c>
      <c r="E23" s="136">
        <f t="shared" si="4"/>
        <v>2.2343231637343779</v>
      </c>
      <c r="F23" s="141"/>
      <c r="G23" s="134">
        <v>50</v>
      </c>
      <c r="H23" s="135">
        <v>1.98</v>
      </c>
      <c r="I23" s="135">
        <v>3.1</v>
      </c>
      <c r="J23" s="136">
        <f t="shared" si="5"/>
        <v>3.6783692038728248</v>
      </c>
      <c r="K23" s="141"/>
      <c r="L23" s="134">
        <v>50</v>
      </c>
      <c r="M23" s="135">
        <v>1.7</v>
      </c>
      <c r="N23" s="135">
        <v>1.46</v>
      </c>
      <c r="O23" s="136">
        <f t="shared" si="6"/>
        <v>2.2408926792686881</v>
      </c>
      <c r="P23" s="141"/>
      <c r="Q23" s="134">
        <v>50</v>
      </c>
      <c r="R23" s="135">
        <v>1.93</v>
      </c>
      <c r="S23" s="135">
        <v>3.12</v>
      </c>
      <c r="T23" s="136">
        <f t="shared" si="7"/>
        <v>3.6686918649567724</v>
      </c>
      <c r="U23" s="63"/>
      <c r="V23" s="767" t="s">
        <v>84</v>
      </c>
      <c r="W23" s="767"/>
      <c r="X23" s="129" t="s">
        <v>85</v>
      </c>
      <c r="Y23" s="63"/>
      <c r="Z23" s="767" t="s">
        <v>86</v>
      </c>
      <c r="AA23" s="767"/>
      <c r="AB23" s="129" t="s">
        <v>85</v>
      </c>
    </row>
    <row r="24" spans="1:30" s="64" customFormat="1" ht="12" customHeight="1" x14ac:dyDescent="0.15">
      <c r="A24" s="63"/>
      <c r="B24" s="134">
        <v>75</v>
      </c>
      <c r="C24" s="135">
        <v>1.78</v>
      </c>
      <c r="D24" s="135">
        <v>1.73</v>
      </c>
      <c r="E24" s="136">
        <f t="shared" si="4"/>
        <v>2.4821966078455593</v>
      </c>
      <c r="F24" s="141"/>
      <c r="G24" s="134">
        <v>75</v>
      </c>
      <c r="H24" s="135">
        <v>1.7</v>
      </c>
      <c r="I24" s="135">
        <v>3.6</v>
      </c>
      <c r="J24" s="136">
        <f t="shared" si="5"/>
        <v>3.981205847478877</v>
      </c>
      <c r="K24" s="141"/>
      <c r="L24" s="134">
        <v>75</v>
      </c>
      <c r="M24" s="135">
        <v>1.64</v>
      </c>
      <c r="N24" s="135">
        <v>1.93</v>
      </c>
      <c r="O24" s="136">
        <f t="shared" si="6"/>
        <v>2.5326863208853951</v>
      </c>
      <c r="P24" s="141"/>
      <c r="Q24" s="134">
        <v>75</v>
      </c>
      <c r="R24" s="135">
        <v>1.66</v>
      </c>
      <c r="S24" s="135">
        <v>4.17</v>
      </c>
      <c r="T24" s="136">
        <f t="shared" si="7"/>
        <v>4.4882624700433906</v>
      </c>
      <c r="U24" s="63"/>
      <c r="V24" s="133" t="s">
        <v>72</v>
      </c>
      <c r="W24" s="133" t="s">
        <v>73</v>
      </c>
      <c r="X24" s="133" t="s">
        <v>87</v>
      </c>
      <c r="Y24" s="63"/>
      <c r="Z24" s="133" t="s">
        <v>72</v>
      </c>
      <c r="AA24" s="133" t="s">
        <v>73</v>
      </c>
      <c r="AB24" s="133" t="s">
        <v>87</v>
      </c>
    </row>
    <row r="25" spans="1:30" s="64" customFormat="1" ht="12" customHeight="1" x14ac:dyDescent="0.15">
      <c r="A25" s="63"/>
      <c r="B25" s="134">
        <v>100</v>
      </c>
      <c r="C25" s="135">
        <v>1.73</v>
      </c>
      <c r="D25" s="135">
        <v>1.74</v>
      </c>
      <c r="E25" s="136">
        <f t="shared" si="4"/>
        <v>2.4536707195546841</v>
      </c>
      <c r="F25" s="141"/>
      <c r="G25" s="134">
        <v>100</v>
      </c>
      <c r="H25" s="135">
        <v>1.87</v>
      </c>
      <c r="I25" s="135">
        <v>3.83</v>
      </c>
      <c r="J25" s="136">
        <f t="shared" si="5"/>
        <v>4.2621356149235794</v>
      </c>
      <c r="K25" s="141"/>
      <c r="L25" s="134">
        <v>100</v>
      </c>
      <c r="M25" s="135">
        <v>1.6</v>
      </c>
      <c r="N25" s="135">
        <v>1.93</v>
      </c>
      <c r="O25" s="136">
        <f t="shared" si="6"/>
        <v>2.5069702830308938</v>
      </c>
      <c r="P25" s="141"/>
      <c r="Q25" s="134">
        <v>100</v>
      </c>
      <c r="R25" s="135">
        <v>1.91</v>
      </c>
      <c r="S25" s="135">
        <v>4.4000000000000004</v>
      </c>
      <c r="T25" s="136">
        <f t="shared" si="7"/>
        <v>4.7966759323514863</v>
      </c>
      <c r="U25" s="63"/>
      <c r="V25" s="138" t="s">
        <v>75</v>
      </c>
      <c r="W25" s="138" t="s">
        <v>78</v>
      </c>
      <c r="X25" s="138" t="s">
        <v>88</v>
      </c>
      <c r="Y25" s="63"/>
      <c r="Z25" s="138" t="s">
        <v>75</v>
      </c>
      <c r="AA25" s="138" t="s">
        <v>78</v>
      </c>
      <c r="AB25" s="138" t="s">
        <v>88</v>
      </c>
    </row>
    <row r="26" spans="1:30" s="64" customFormat="1" ht="12" customHeight="1" x14ac:dyDescent="0.15">
      <c r="A26" s="63"/>
      <c r="B26" s="134">
        <v>150</v>
      </c>
      <c r="C26" s="135">
        <v>1.61</v>
      </c>
      <c r="D26" s="135">
        <v>1.91</v>
      </c>
      <c r="E26" s="136">
        <f t="shared" si="4"/>
        <v>2.4980392310770463</v>
      </c>
      <c r="F26" s="141"/>
      <c r="G26" s="134">
        <v>150</v>
      </c>
      <c r="H26" s="135">
        <v>1.57</v>
      </c>
      <c r="I26" s="135">
        <v>3.93</v>
      </c>
      <c r="J26" s="136">
        <f t="shared" si="5"/>
        <v>4.2319971644602976</v>
      </c>
      <c r="K26" s="141"/>
      <c r="L26" s="134">
        <v>150</v>
      </c>
      <c r="M26" s="135">
        <v>1.5</v>
      </c>
      <c r="N26" s="135">
        <v>2.12</v>
      </c>
      <c r="O26" s="136">
        <f t="shared" si="6"/>
        <v>2.5969982672308429</v>
      </c>
      <c r="P26" s="141"/>
      <c r="Q26" s="134">
        <v>150</v>
      </c>
      <c r="R26" s="135">
        <v>1.56</v>
      </c>
      <c r="S26" s="135">
        <v>4.6900000000000004</v>
      </c>
      <c r="T26" s="136">
        <f t="shared" si="7"/>
        <v>4.9426409944482117</v>
      </c>
      <c r="U26" s="63"/>
      <c r="V26" s="139"/>
      <c r="W26" s="140" t="s">
        <v>89</v>
      </c>
      <c r="X26" s="140" t="s">
        <v>89</v>
      </c>
      <c r="Y26" s="63"/>
      <c r="Z26" s="139"/>
      <c r="AA26" s="140" t="s">
        <v>89</v>
      </c>
      <c r="AB26" s="140" t="s">
        <v>89</v>
      </c>
    </row>
    <row r="27" spans="1:30" s="64" customFormat="1" ht="12" customHeight="1" x14ac:dyDescent="0.15">
      <c r="A27" s="63"/>
      <c r="B27" s="134">
        <v>200</v>
      </c>
      <c r="C27" s="135">
        <v>1.63</v>
      </c>
      <c r="D27" s="135">
        <v>2.6</v>
      </c>
      <c r="E27" s="136">
        <f t="shared" si="4"/>
        <v>3.0686967917994115</v>
      </c>
      <c r="F27" s="141"/>
      <c r="G27" s="134">
        <v>200</v>
      </c>
      <c r="H27" s="135">
        <v>1.49</v>
      </c>
      <c r="I27" s="135">
        <v>4.3499999999999996</v>
      </c>
      <c r="J27" s="136">
        <f t="shared" si="5"/>
        <v>4.5981083066843906</v>
      </c>
      <c r="K27" s="141"/>
      <c r="L27" s="134">
        <v>200</v>
      </c>
      <c r="M27" s="135">
        <v>1.53</v>
      </c>
      <c r="N27" s="135">
        <v>2.9</v>
      </c>
      <c r="O27" s="136">
        <f t="shared" si="6"/>
        <v>3.2788565079917724</v>
      </c>
      <c r="P27" s="141"/>
      <c r="Q27" s="134">
        <v>200</v>
      </c>
      <c r="R27" s="135">
        <v>1.44</v>
      </c>
      <c r="S27" s="135">
        <v>4.88</v>
      </c>
      <c r="T27" s="136">
        <f t="shared" si="7"/>
        <v>5.0880251571705104</v>
      </c>
      <c r="U27" s="63"/>
      <c r="V27" s="142">
        <v>2</v>
      </c>
      <c r="W27" s="143">
        <v>12</v>
      </c>
      <c r="X27" s="143">
        <v>9.9199999999999997E-2</v>
      </c>
      <c r="Y27" s="63"/>
      <c r="Z27" s="234"/>
      <c r="AA27" s="235"/>
      <c r="AB27" s="235"/>
    </row>
    <row r="28" spans="1:30" s="64" customFormat="1" ht="12" customHeight="1" x14ac:dyDescent="0.2">
      <c r="A28" s="63"/>
      <c r="B28" s="134">
        <v>300</v>
      </c>
      <c r="C28" s="135">
        <v>1.5</v>
      </c>
      <c r="D28" s="135">
        <v>2.82</v>
      </c>
      <c r="E28" s="136">
        <f t="shared" si="4"/>
        <v>3.1941195970094793</v>
      </c>
      <c r="F28" s="141"/>
      <c r="G28" s="134">
        <v>300</v>
      </c>
      <c r="H28" s="135">
        <v>1.44</v>
      </c>
      <c r="I28" s="135">
        <v>4.43</v>
      </c>
      <c r="J28" s="136">
        <f t="shared" si="5"/>
        <v>4.658164874711928</v>
      </c>
      <c r="K28" s="141"/>
      <c r="L28" s="134">
        <v>300</v>
      </c>
      <c r="M28" s="135">
        <v>1.41</v>
      </c>
      <c r="N28" s="135">
        <v>3.26</v>
      </c>
      <c r="O28" s="136">
        <f t="shared" si="6"/>
        <v>3.5518586683594267</v>
      </c>
      <c r="P28" s="141"/>
      <c r="Q28" s="134">
        <v>300</v>
      </c>
      <c r="R28" s="135">
        <v>1.34</v>
      </c>
      <c r="S28" s="135">
        <v>5.07</v>
      </c>
      <c r="T28" s="136">
        <f t="shared" si="7"/>
        <v>5.2440919137635262</v>
      </c>
      <c r="U28" s="63"/>
      <c r="V28" s="142">
        <v>3.5</v>
      </c>
      <c r="W28" s="143">
        <v>6.76</v>
      </c>
      <c r="X28" s="143">
        <v>9.1399999999999995E-2</v>
      </c>
      <c r="Y28" s="63"/>
      <c r="Z28" s="234">
        <v>240</v>
      </c>
      <c r="AA28" s="235">
        <v>9.5200000000000007E-2</v>
      </c>
      <c r="AB28" s="235">
        <v>0.1162</v>
      </c>
      <c r="AD28" s="236"/>
    </row>
    <row r="29" spans="1:30" s="64" customFormat="1" ht="12" customHeight="1" x14ac:dyDescent="0.2">
      <c r="A29" s="63"/>
      <c r="B29" s="134">
        <v>500</v>
      </c>
      <c r="C29" s="135">
        <v>1.25</v>
      </c>
      <c r="D29" s="135">
        <v>4.0599999999999996</v>
      </c>
      <c r="E29" s="136">
        <f t="shared" si="4"/>
        <v>4.2480701500799158</v>
      </c>
      <c r="F29" s="141"/>
      <c r="G29" s="134">
        <v>500</v>
      </c>
      <c r="H29" s="135">
        <v>1.07</v>
      </c>
      <c r="I29" s="135">
        <v>4.09</v>
      </c>
      <c r="J29" s="136">
        <f t="shared" si="5"/>
        <v>4.2276470997470916</v>
      </c>
      <c r="K29" s="141"/>
      <c r="L29" s="134">
        <v>500</v>
      </c>
      <c r="M29" s="135">
        <v>1.18</v>
      </c>
      <c r="N29" s="135">
        <v>4.6100000000000003</v>
      </c>
      <c r="O29" s="136">
        <f t="shared" si="6"/>
        <v>4.7586237506237037</v>
      </c>
      <c r="P29" s="141"/>
      <c r="Q29" s="134">
        <v>500</v>
      </c>
      <c r="R29" s="135">
        <v>1.06</v>
      </c>
      <c r="S29" s="135">
        <v>5.47</v>
      </c>
      <c r="T29" s="136">
        <f t="shared" si="7"/>
        <v>5.5717591477019175</v>
      </c>
      <c r="U29" s="63"/>
      <c r="V29" s="142">
        <v>5.5</v>
      </c>
      <c r="W29" s="143">
        <v>4.34</v>
      </c>
      <c r="X29" s="143">
        <v>9.1399999999999995E-2</v>
      </c>
      <c r="Y29" s="63"/>
      <c r="Z29" s="234">
        <v>300</v>
      </c>
      <c r="AA29" s="235">
        <v>7.6600000000000001E-2</v>
      </c>
      <c r="AB29" s="235">
        <v>0.10489999999999999</v>
      </c>
      <c r="AD29" s="236"/>
    </row>
    <row r="30" spans="1:30" s="64" customFormat="1" ht="12" customHeight="1" x14ac:dyDescent="0.2">
      <c r="A30" s="63"/>
      <c r="B30" s="134">
        <v>750</v>
      </c>
      <c r="C30" s="135">
        <v>1.31</v>
      </c>
      <c r="D30" s="135">
        <v>4.92</v>
      </c>
      <c r="E30" s="136">
        <f t="shared" si="4"/>
        <v>5.0914143418111237</v>
      </c>
      <c r="F30" s="141"/>
      <c r="G30" s="134"/>
      <c r="H30" s="135"/>
      <c r="I30" s="135"/>
      <c r="J30" s="136" t="str">
        <f t="shared" si="5"/>
        <v/>
      </c>
      <c r="K30" s="141"/>
      <c r="L30" s="134">
        <v>750</v>
      </c>
      <c r="M30" s="135">
        <v>1.24</v>
      </c>
      <c r="N30" s="135">
        <v>5.35</v>
      </c>
      <c r="O30" s="136">
        <f t="shared" si="6"/>
        <v>5.4918211915538544</v>
      </c>
      <c r="P30" s="141"/>
      <c r="Q30" s="134"/>
      <c r="R30" s="135"/>
      <c r="S30" s="135"/>
      <c r="T30" s="136" t="str">
        <f t="shared" si="7"/>
        <v/>
      </c>
      <c r="U30" s="63"/>
      <c r="V30" s="142">
        <v>8</v>
      </c>
      <c r="W30" s="143">
        <v>3.01</v>
      </c>
      <c r="X30" s="143">
        <v>8.6999999999999994E-2</v>
      </c>
      <c r="Y30" s="63"/>
      <c r="Z30" s="234">
        <v>330</v>
      </c>
      <c r="AA30" s="235">
        <v>7.0000000000000007E-2</v>
      </c>
      <c r="AB30" s="235">
        <v>2.3099999999999999E-2</v>
      </c>
      <c r="AD30" s="236" t="s">
        <v>198</v>
      </c>
    </row>
    <row r="31" spans="1:30" s="64" customFormat="1" ht="12" customHeight="1" x14ac:dyDescent="0.2">
      <c r="A31" s="63"/>
      <c r="B31" s="134">
        <v>1000</v>
      </c>
      <c r="C31" s="135">
        <v>1.19</v>
      </c>
      <c r="D31" s="135">
        <v>5.0199999999999996</v>
      </c>
      <c r="E31" s="136">
        <f t="shared" si="4"/>
        <v>5.159118141698249</v>
      </c>
      <c r="F31" s="141"/>
      <c r="G31" s="134"/>
      <c r="H31" s="135"/>
      <c r="I31" s="135"/>
      <c r="J31" s="136" t="str">
        <f t="shared" si="5"/>
        <v/>
      </c>
      <c r="K31" s="141"/>
      <c r="L31" s="134">
        <v>1000</v>
      </c>
      <c r="M31" s="135">
        <v>1.1200000000000001</v>
      </c>
      <c r="N31" s="135">
        <v>5.68</v>
      </c>
      <c r="O31" s="136">
        <f t="shared" si="6"/>
        <v>5.7893695684418001</v>
      </c>
      <c r="P31" s="141"/>
      <c r="Q31" s="134"/>
      <c r="R31" s="135"/>
      <c r="S31" s="135"/>
      <c r="T31" s="136" t="str">
        <f t="shared" si="7"/>
        <v/>
      </c>
      <c r="U31" s="63"/>
      <c r="V31" s="142">
        <v>14</v>
      </c>
      <c r="W31" s="143">
        <v>1.71</v>
      </c>
      <c r="X31" s="143">
        <v>8.2799999999999999E-2</v>
      </c>
      <c r="Y31" s="63"/>
      <c r="Z31" s="234">
        <v>450</v>
      </c>
      <c r="AA31" s="235">
        <v>5.1999999999999998E-2</v>
      </c>
      <c r="AB31" s="235">
        <v>1.7899999999999999E-2</v>
      </c>
      <c r="AD31" s="236" t="s">
        <v>199</v>
      </c>
    </row>
    <row r="32" spans="1:30" s="64" customFormat="1" ht="12" customHeight="1" x14ac:dyDescent="0.2">
      <c r="A32" s="63"/>
      <c r="B32" s="134"/>
      <c r="C32" s="135"/>
      <c r="D32" s="135"/>
      <c r="E32" s="136" t="str">
        <f t="shared" si="4"/>
        <v/>
      </c>
      <c r="F32" s="141"/>
      <c r="G32" s="134"/>
      <c r="H32" s="135"/>
      <c r="I32" s="135"/>
      <c r="J32" s="136" t="str">
        <f t="shared" si="5"/>
        <v/>
      </c>
      <c r="K32" s="141"/>
      <c r="L32" s="134"/>
      <c r="M32" s="135"/>
      <c r="N32" s="135"/>
      <c r="O32" s="136" t="str">
        <f t="shared" si="6"/>
        <v/>
      </c>
      <c r="P32" s="141"/>
      <c r="Q32" s="134"/>
      <c r="R32" s="135"/>
      <c r="S32" s="135"/>
      <c r="T32" s="136" t="str">
        <f t="shared" si="7"/>
        <v/>
      </c>
      <c r="U32" s="63"/>
      <c r="V32" s="142">
        <v>22</v>
      </c>
      <c r="W32" s="143">
        <v>1.08</v>
      </c>
      <c r="X32" s="143">
        <v>8.2000000000000003E-2</v>
      </c>
      <c r="Y32" s="63"/>
      <c r="Z32" s="234">
        <v>600</v>
      </c>
      <c r="AA32" s="235">
        <v>3.2899999999999999E-2</v>
      </c>
      <c r="AB32" s="235">
        <v>1.14E-2</v>
      </c>
      <c r="AD32" s="236" t="s">
        <v>200</v>
      </c>
    </row>
    <row r="33" spans="1:30" s="64" customFormat="1" ht="12" customHeight="1" x14ac:dyDescent="0.2">
      <c r="A33" s="63"/>
      <c r="B33" s="134"/>
      <c r="C33" s="135"/>
      <c r="D33" s="135"/>
      <c r="E33" s="136" t="str">
        <f t="shared" si="4"/>
        <v/>
      </c>
      <c r="F33" s="137"/>
      <c r="G33" s="134"/>
      <c r="H33" s="135"/>
      <c r="I33" s="135"/>
      <c r="J33" s="136" t="str">
        <f t="shared" si="5"/>
        <v/>
      </c>
      <c r="K33" s="137"/>
      <c r="L33" s="134"/>
      <c r="M33" s="135"/>
      <c r="N33" s="135"/>
      <c r="O33" s="136" t="str">
        <f t="shared" si="6"/>
        <v/>
      </c>
      <c r="P33" s="137"/>
      <c r="Q33" s="134"/>
      <c r="R33" s="135"/>
      <c r="S33" s="135"/>
      <c r="T33" s="136" t="str">
        <f t="shared" si="7"/>
        <v/>
      </c>
      <c r="U33" s="63"/>
      <c r="V33" s="142">
        <v>38</v>
      </c>
      <c r="W33" s="143">
        <v>0.626</v>
      </c>
      <c r="X33" s="143">
        <v>7.7100000000000002E-2</v>
      </c>
      <c r="Y33" s="63"/>
      <c r="Z33" s="234">
        <v>900</v>
      </c>
      <c r="AA33" s="235">
        <v>2.8000000000000001E-2</v>
      </c>
      <c r="AB33" s="235">
        <v>9.5999999999999992E-3</v>
      </c>
      <c r="AD33" s="236" t="s">
        <v>196</v>
      </c>
    </row>
    <row r="34" spans="1:30" s="64" customFormat="1" ht="12" customHeight="1" x14ac:dyDescent="0.2">
      <c r="A34" s="63"/>
      <c r="B34" s="134"/>
      <c r="C34" s="135"/>
      <c r="D34" s="135"/>
      <c r="E34" s="136" t="str">
        <f t="shared" si="4"/>
        <v/>
      </c>
      <c r="F34" s="137"/>
      <c r="G34" s="134"/>
      <c r="H34" s="135"/>
      <c r="I34" s="135"/>
      <c r="J34" s="136" t="str">
        <f t="shared" si="5"/>
        <v/>
      </c>
      <c r="K34" s="137"/>
      <c r="L34" s="134"/>
      <c r="M34" s="135"/>
      <c r="N34" s="135"/>
      <c r="O34" s="136" t="str">
        <f t="shared" si="6"/>
        <v/>
      </c>
      <c r="P34" s="137"/>
      <c r="Q34" s="134"/>
      <c r="R34" s="135"/>
      <c r="S34" s="135"/>
      <c r="T34" s="136" t="str">
        <f t="shared" si="7"/>
        <v/>
      </c>
      <c r="U34" s="63"/>
      <c r="V34" s="142">
        <v>60</v>
      </c>
      <c r="W34" s="143">
        <v>0.39700000000000002</v>
      </c>
      <c r="X34" s="143">
        <v>7.7299999999999994E-2</v>
      </c>
      <c r="Y34" s="63"/>
      <c r="Z34" s="234">
        <v>1050</v>
      </c>
      <c r="AA34" s="235">
        <v>2.46E-2</v>
      </c>
      <c r="AB34" s="235">
        <v>8.3000000000000001E-3</v>
      </c>
      <c r="AD34" s="236" t="s">
        <v>197</v>
      </c>
    </row>
    <row r="35" spans="1:30" s="64" customFormat="1" ht="12" customHeight="1" x14ac:dyDescent="0.2">
      <c r="A35" s="63"/>
      <c r="B35" s="137"/>
      <c r="C35" s="137"/>
      <c r="D35" s="137"/>
      <c r="E35" s="137"/>
      <c r="F35" s="137"/>
      <c r="G35" s="137"/>
      <c r="H35" s="137"/>
      <c r="I35" s="137"/>
      <c r="J35" s="137"/>
      <c r="K35" s="137"/>
      <c r="L35" s="137"/>
      <c r="M35" s="137"/>
      <c r="N35" s="137"/>
      <c r="O35" s="137"/>
      <c r="P35" s="137"/>
      <c r="Q35" s="137"/>
      <c r="R35" s="137"/>
      <c r="S35" s="137"/>
      <c r="T35" s="137"/>
      <c r="U35" s="137"/>
      <c r="V35" s="142">
        <v>100</v>
      </c>
      <c r="W35" s="143">
        <v>0.24</v>
      </c>
      <c r="X35" s="143">
        <v>7.7700000000000005E-2</v>
      </c>
      <c r="Y35" s="63"/>
      <c r="Z35" s="234">
        <v>1680</v>
      </c>
      <c r="AA35" s="235">
        <v>1.6299999999999999E-2</v>
      </c>
      <c r="AB35" s="235">
        <v>5.4999999999999997E-3</v>
      </c>
      <c r="AD35" s="236"/>
    </row>
    <row r="36" spans="1:30" s="64" customFormat="1" ht="12" customHeight="1" x14ac:dyDescent="0.2">
      <c r="A36" s="63"/>
      <c r="B36" s="128" t="s">
        <v>60</v>
      </c>
      <c r="C36" s="766" t="s">
        <v>90</v>
      </c>
      <c r="D36" s="765"/>
      <c r="E36" s="129" t="s">
        <v>85</v>
      </c>
      <c r="F36" s="137"/>
      <c r="G36" s="146" t="s">
        <v>91</v>
      </c>
      <c r="H36" s="766" t="s">
        <v>90</v>
      </c>
      <c r="I36" s="765"/>
      <c r="J36" s="129" t="s">
        <v>85</v>
      </c>
      <c r="K36" s="137"/>
      <c r="L36" s="137"/>
      <c r="M36" s="137"/>
      <c r="N36" s="137"/>
      <c r="O36" s="137"/>
      <c r="P36" s="137"/>
      <c r="Q36" s="137"/>
      <c r="R36" s="137"/>
      <c r="S36" s="137"/>
      <c r="T36" s="137"/>
      <c r="U36" s="137"/>
      <c r="V36" s="142">
        <v>150</v>
      </c>
      <c r="W36" s="143">
        <v>0.159</v>
      </c>
      <c r="X36" s="143">
        <v>7.4700000000000003E-2</v>
      </c>
      <c r="Y36" s="63"/>
      <c r="Z36" s="234"/>
      <c r="AA36" s="235"/>
      <c r="AB36" s="235"/>
      <c r="AD36" s="237"/>
    </row>
    <row r="37" spans="1:30" s="64" customFormat="1" ht="12" customHeight="1" x14ac:dyDescent="0.2">
      <c r="A37" s="63"/>
      <c r="B37" s="131" t="s">
        <v>68</v>
      </c>
      <c r="C37" s="132" t="s">
        <v>92</v>
      </c>
      <c r="D37" s="132" t="s">
        <v>93</v>
      </c>
      <c r="E37" s="132" t="s">
        <v>94</v>
      </c>
      <c r="F37" s="137"/>
      <c r="G37" s="131" t="s">
        <v>68</v>
      </c>
      <c r="H37" s="132" t="s">
        <v>92</v>
      </c>
      <c r="I37" s="132" t="s">
        <v>93</v>
      </c>
      <c r="J37" s="132" t="s">
        <v>94</v>
      </c>
      <c r="K37" s="137"/>
      <c r="L37" s="137"/>
      <c r="M37" s="137"/>
      <c r="N37" s="137"/>
      <c r="O37" s="137"/>
      <c r="P37" s="137"/>
      <c r="Q37" s="137"/>
      <c r="R37" s="137"/>
      <c r="S37" s="137"/>
      <c r="T37" s="137"/>
      <c r="U37" s="137"/>
      <c r="V37" s="142">
        <v>200</v>
      </c>
      <c r="W37" s="143">
        <v>0.121</v>
      </c>
      <c r="X37" s="143">
        <v>7.5700000000000003E-2</v>
      </c>
      <c r="Y37" s="63"/>
      <c r="Z37" s="234"/>
      <c r="AA37" s="235"/>
      <c r="AB37" s="235"/>
      <c r="AD37" s="237"/>
    </row>
    <row r="38" spans="1:30" s="64" customFormat="1" ht="12" customHeight="1" x14ac:dyDescent="0.2">
      <c r="A38" s="63"/>
      <c r="B38" s="134"/>
      <c r="C38" s="135"/>
      <c r="D38" s="135"/>
      <c r="E38" s="136" t="str">
        <f t="shared" ref="E38:E52" si="8">IF(D38="","",SQRT((C38^2)+(D38^2)))</f>
        <v/>
      </c>
      <c r="F38" s="63"/>
      <c r="G38" s="147"/>
      <c r="H38" s="148"/>
      <c r="I38" s="148"/>
      <c r="J38" s="149" t="str">
        <f t="shared" ref="J38:J52" si="9">IF(I38="","",SQRT((H38^2)+(I38^2)))</f>
        <v/>
      </c>
      <c r="K38" s="63"/>
      <c r="L38" s="63"/>
      <c r="M38" s="63"/>
      <c r="N38" s="63"/>
      <c r="O38" s="63"/>
      <c r="P38" s="63"/>
      <c r="Q38" s="63"/>
      <c r="R38" s="63"/>
      <c r="S38" s="63"/>
      <c r="T38" s="63"/>
      <c r="U38" s="63"/>
      <c r="V38" s="142">
        <v>250</v>
      </c>
      <c r="W38" s="143">
        <v>9.8500000000000004E-2</v>
      </c>
      <c r="X38" s="143">
        <v>7.4200000000000002E-2</v>
      </c>
      <c r="Y38" s="63"/>
      <c r="Z38" s="234">
        <v>200</v>
      </c>
      <c r="AA38" s="235">
        <v>0.12</v>
      </c>
      <c r="AB38" s="235">
        <v>0.1</v>
      </c>
      <c r="AD38" s="236"/>
    </row>
    <row r="39" spans="1:30" s="64" customFormat="1" ht="12" customHeight="1" x14ac:dyDescent="0.2">
      <c r="A39" s="63"/>
      <c r="B39" s="134"/>
      <c r="C39" s="135"/>
      <c r="D39" s="135"/>
      <c r="E39" s="136" t="str">
        <f t="shared" si="8"/>
        <v/>
      </c>
      <c r="F39" s="63"/>
      <c r="G39" s="147"/>
      <c r="H39" s="148"/>
      <c r="I39" s="148"/>
      <c r="J39" s="149" t="str">
        <f t="shared" si="9"/>
        <v/>
      </c>
      <c r="K39" s="63"/>
      <c r="L39" s="63"/>
      <c r="M39" s="63"/>
      <c r="N39" s="63"/>
      <c r="O39" s="63"/>
      <c r="P39" s="63"/>
      <c r="Q39" s="63"/>
      <c r="R39" s="63"/>
      <c r="S39" s="63"/>
      <c r="T39" s="63"/>
      <c r="U39" s="63"/>
      <c r="V39" s="142">
        <v>325</v>
      </c>
      <c r="W39" s="143">
        <v>7.7100000000000002E-2</v>
      </c>
      <c r="X39" s="143">
        <v>7.2499999999999995E-2</v>
      </c>
      <c r="Y39" s="63"/>
      <c r="Z39" s="234"/>
      <c r="AA39" s="235"/>
      <c r="AB39" s="235"/>
      <c r="AD39" s="237"/>
    </row>
    <row r="40" spans="1:30" s="64" customFormat="1" ht="12" customHeight="1" x14ac:dyDescent="0.2">
      <c r="A40" s="63"/>
      <c r="B40" s="134"/>
      <c r="C40" s="135"/>
      <c r="D40" s="135"/>
      <c r="E40" s="136" t="str">
        <f t="shared" si="8"/>
        <v/>
      </c>
      <c r="F40" s="63"/>
      <c r="G40" s="147">
        <v>1667</v>
      </c>
      <c r="H40" s="148">
        <v>1</v>
      </c>
      <c r="I40" s="148">
        <v>24.98</v>
      </c>
      <c r="J40" s="149">
        <f t="shared" si="9"/>
        <v>25.000007999998719</v>
      </c>
      <c r="K40" s="63"/>
      <c r="L40" s="63"/>
      <c r="M40" s="63"/>
      <c r="N40" s="63"/>
      <c r="O40" s="63"/>
      <c r="P40" s="63"/>
      <c r="Q40" s="63"/>
      <c r="R40" s="63"/>
      <c r="S40" s="63"/>
      <c r="T40" s="63"/>
      <c r="U40" s="63"/>
      <c r="V40" s="142"/>
      <c r="W40" s="143"/>
      <c r="X40" s="143"/>
      <c r="Y40" s="63"/>
      <c r="Z40" s="234"/>
      <c r="AA40" s="235"/>
      <c r="AB40" s="235"/>
      <c r="AD40" s="237"/>
    </row>
    <row r="41" spans="1:30" s="64" customFormat="1" ht="12" customHeight="1" x14ac:dyDescent="0.2">
      <c r="A41" s="63"/>
      <c r="B41" s="134"/>
      <c r="C41" s="135"/>
      <c r="D41" s="135"/>
      <c r="E41" s="136" t="str">
        <f t="shared" si="8"/>
        <v/>
      </c>
      <c r="F41" s="63"/>
      <c r="G41" s="147">
        <v>2000</v>
      </c>
      <c r="H41" s="148">
        <v>1</v>
      </c>
      <c r="I41" s="148">
        <v>24.98</v>
      </c>
      <c r="J41" s="149">
        <f t="shared" si="9"/>
        <v>25.000007999998719</v>
      </c>
      <c r="K41" s="63"/>
      <c r="L41" s="63"/>
      <c r="M41" s="63"/>
      <c r="N41" s="63"/>
      <c r="O41" s="63"/>
      <c r="P41" s="63"/>
      <c r="Q41" s="63"/>
      <c r="R41" s="63"/>
      <c r="S41" s="63"/>
      <c r="T41" s="63"/>
      <c r="U41" s="63"/>
      <c r="V41" s="142"/>
      <c r="W41" s="143"/>
      <c r="X41" s="143"/>
      <c r="Y41" s="63"/>
      <c r="Z41" s="234">
        <v>185</v>
      </c>
      <c r="AA41" s="235">
        <v>0.13100000000000001</v>
      </c>
      <c r="AB41" s="235">
        <v>0.115</v>
      </c>
      <c r="AD41" s="236"/>
    </row>
    <row r="42" spans="1:30" s="64" customFormat="1" ht="12" customHeight="1" x14ac:dyDescent="0.15">
      <c r="A42" s="63"/>
      <c r="B42" s="134"/>
      <c r="C42" s="135"/>
      <c r="D42" s="135"/>
      <c r="E42" s="136" t="str">
        <f t="shared" si="8"/>
        <v/>
      </c>
      <c r="F42" s="63"/>
      <c r="G42" s="147"/>
      <c r="H42" s="148"/>
      <c r="I42" s="148"/>
      <c r="J42" s="149" t="str">
        <f t="shared" si="9"/>
        <v/>
      </c>
      <c r="K42" s="63"/>
      <c r="L42" s="63"/>
      <c r="M42" s="63"/>
      <c r="N42" s="63"/>
      <c r="O42" s="63"/>
      <c r="P42" s="63"/>
      <c r="Q42" s="63"/>
      <c r="R42" s="63"/>
      <c r="S42" s="63"/>
      <c r="T42" s="63"/>
      <c r="U42" s="63"/>
      <c r="V42" s="142"/>
      <c r="W42" s="143"/>
      <c r="X42" s="143"/>
      <c r="Y42" s="63"/>
      <c r="Z42" s="142"/>
      <c r="AA42" s="143"/>
      <c r="AB42" s="143"/>
    </row>
    <row r="43" spans="1:30" s="64" customFormat="1" ht="12" customHeight="1" x14ac:dyDescent="0.15">
      <c r="A43" s="63"/>
      <c r="B43" s="134"/>
      <c r="C43" s="135"/>
      <c r="D43" s="135"/>
      <c r="E43" s="136" t="str">
        <f t="shared" si="8"/>
        <v/>
      </c>
      <c r="F43" s="63"/>
      <c r="G43" s="147">
        <v>2083</v>
      </c>
      <c r="H43" s="148">
        <v>1</v>
      </c>
      <c r="I43" s="148">
        <v>24.98</v>
      </c>
      <c r="J43" s="149">
        <f t="shared" si="9"/>
        <v>25.000007999998719</v>
      </c>
      <c r="K43" s="63"/>
      <c r="L43" s="63"/>
      <c r="M43" s="63"/>
      <c r="N43" s="63"/>
      <c r="O43" s="63"/>
      <c r="P43" s="63"/>
      <c r="Q43" s="63"/>
      <c r="R43" s="63"/>
      <c r="S43" s="63"/>
      <c r="T43" s="63"/>
      <c r="U43" s="63"/>
      <c r="V43" s="142"/>
      <c r="W43" s="143"/>
      <c r="X43" s="143"/>
      <c r="Y43" s="63"/>
      <c r="Z43" s="142"/>
      <c r="AA43" s="143"/>
      <c r="AB43" s="143"/>
    </row>
    <row r="44" spans="1:30" s="64" customFormat="1" ht="12" customHeight="1" x14ac:dyDescent="0.15">
      <c r="A44" s="63"/>
      <c r="B44" s="134"/>
      <c r="C44" s="135"/>
      <c r="D44" s="135"/>
      <c r="E44" s="136" t="str">
        <f t="shared" si="8"/>
        <v/>
      </c>
      <c r="F44" s="63"/>
      <c r="G44" s="147">
        <v>2500</v>
      </c>
      <c r="H44" s="148">
        <v>1</v>
      </c>
      <c r="I44" s="148">
        <v>24.98</v>
      </c>
      <c r="J44" s="149">
        <f t="shared" si="9"/>
        <v>25.000007999998719</v>
      </c>
      <c r="K44" s="63"/>
      <c r="L44" s="63"/>
      <c r="M44" s="63"/>
      <c r="N44" s="63"/>
      <c r="O44" s="63"/>
      <c r="P44" s="63"/>
      <c r="Q44" s="63"/>
      <c r="R44" s="63"/>
      <c r="S44" s="63"/>
      <c r="T44" s="63"/>
      <c r="U44" s="63"/>
      <c r="V44" s="142"/>
      <c r="W44" s="143"/>
      <c r="X44" s="143"/>
      <c r="Y44" s="63"/>
      <c r="Z44" s="142"/>
      <c r="AA44" s="143"/>
      <c r="AB44" s="143"/>
    </row>
    <row r="45" spans="1:30" s="64" customFormat="1" ht="12" customHeight="1" x14ac:dyDescent="0.15">
      <c r="A45" s="63"/>
      <c r="B45" s="134"/>
      <c r="C45" s="135"/>
      <c r="D45" s="135"/>
      <c r="E45" s="136" t="str">
        <f t="shared" si="8"/>
        <v/>
      </c>
      <c r="F45" s="63"/>
      <c r="G45" s="147"/>
      <c r="H45" s="148"/>
      <c r="I45" s="148"/>
      <c r="J45" s="149" t="str">
        <f t="shared" si="9"/>
        <v/>
      </c>
      <c r="K45" s="63"/>
      <c r="L45" s="63"/>
      <c r="M45" s="63"/>
      <c r="N45" s="63"/>
      <c r="O45" s="63"/>
      <c r="P45" s="63"/>
      <c r="Q45" s="63"/>
      <c r="R45" s="63"/>
      <c r="S45" s="63"/>
      <c r="T45" s="63"/>
      <c r="U45" s="63"/>
      <c r="V45" s="63"/>
      <c r="W45" s="63"/>
      <c r="X45" s="63"/>
      <c r="Y45" s="63"/>
      <c r="Z45" s="63"/>
      <c r="AA45" s="63"/>
      <c r="AB45" s="63"/>
    </row>
    <row r="46" spans="1:30" s="64" customFormat="1" ht="12" customHeight="1" x14ac:dyDescent="0.15">
      <c r="A46" s="63"/>
      <c r="B46" s="134"/>
      <c r="C46" s="135"/>
      <c r="D46" s="135"/>
      <c r="E46" s="136" t="str">
        <f t="shared" si="8"/>
        <v/>
      </c>
      <c r="F46" s="63"/>
      <c r="G46" s="147">
        <v>2500</v>
      </c>
      <c r="H46" s="148">
        <v>1</v>
      </c>
      <c r="I46" s="148">
        <v>20</v>
      </c>
      <c r="J46" s="149">
        <f t="shared" si="9"/>
        <v>20.024984394500787</v>
      </c>
      <c r="K46" s="63"/>
      <c r="L46" s="63"/>
      <c r="M46" s="63"/>
      <c r="N46" s="63"/>
      <c r="O46" s="63"/>
      <c r="P46" s="63"/>
      <c r="Q46" s="63"/>
      <c r="R46" s="63"/>
      <c r="S46" s="63"/>
      <c r="T46" s="63"/>
      <c r="U46" s="63"/>
      <c r="V46" s="63"/>
      <c r="W46" s="63"/>
      <c r="X46" s="63"/>
      <c r="Y46" s="63"/>
      <c r="Z46" s="63"/>
      <c r="AA46" s="63"/>
      <c r="AB46" s="63"/>
    </row>
    <row r="47" spans="1:30" s="64" customFormat="1" ht="12" customHeight="1" x14ac:dyDescent="0.15">
      <c r="A47" s="63"/>
      <c r="B47" s="134"/>
      <c r="C47" s="135"/>
      <c r="D47" s="135"/>
      <c r="E47" s="136" t="str">
        <f t="shared" si="8"/>
        <v/>
      </c>
      <c r="F47" s="63"/>
      <c r="G47" s="147">
        <v>3000</v>
      </c>
      <c r="H47" s="148">
        <v>1</v>
      </c>
      <c r="I47" s="148">
        <v>24.98</v>
      </c>
      <c r="J47" s="149">
        <f>IF(I47="","",SQRT((H47^2)+(I47^2)))</f>
        <v>25.000007999998719</v>
      </c>
      <c r="K47" s="63"/>
      <c r="L47" s="63"/>
      <c r="M47" s="63"/>
      <c r="N47" s="63"/>
      <c r="O47" s="63"/>
      <c r="P47" s="63"/>
      <c r="Q47" s="63"/>
      <c r="R47" s="63"/>
      <c r="S47" s="63"/>
      <c r="T47" s="63"/>
      <c r="U47" s="63"/>
      <c r="V47" s="63"/>
      <c r="W47" s="63"/>
      <c r="X47" s="63"/>
      <c r="Y47" s="63"/>
      <c r="Z47" s="63"/>
      <c r="AA47" s="63"/>
      <c r="AB47" s="63"/>
    </row>
    <row r="48" spans="1:30" s="64" customFormat="1" ht="12" customHeight="1" x14ac:dyDescent="0.15">
      <c r="A48" s="63"/>
      <c r="B48" s="134"/>
      <c r="C48" s="135"/>
      <c r="D48" s="135"/>
      <c r="E48" s="136" t="str">
        <f t="shared" si="8"/>
        <v/>
      </c>
      <c r="F48" s="63"/>
      <c r="G48" s="147"/>
      <c r="H48" s="148"/>
      <c r="I48" s="148"/>
      <c r="J48" s="149" t="str">
        <f t="shared" si="9"/>
        <v/>
      </c>
      <c r="K48" s="63"/>
      <c r="L48" s="63"/>
      <c r="M48" s="63"/>
      <c r="N48" s="63"/>
      <c r="O48" s="63"/>
      <c r="P48" s="63"/>
      <c r="Q48" s="63"/>
      <c r="R48" s="63"/>
      <c r="S48" s="63"/>
      <c r="T48" s="63"/>
      <c r="U48" s="63"/>
      <c r="V48" s="63"/>
      <c r="W48" s="63"/>
      <c r="X48" s="63"/>
      <c r="Y48" s="63"/>
      <c r="Z48" s="63"/>
      <c r="AA48" s="63"/>
      <c r="AB48" s="63"/>
    </row>
    <row r="49" spans="1:29" s="64" customFormat="1" ht="12" customHeight="1" x14ac:dyDescent="0.15">
      <c r="A49" s="63"/>
      <c r="B49" s="134"/>
      <c r="C49" s="135"/>
      <c r="D49" s="135"/>
      <c r="E49" s="136" t="str">
        <f t="shared" si="8"/>
        <v/>
      </c>
      <c r="F49" s="63"/>
      <c r="G49" s="147"/>
      <c r="H49" s="148"/>
      <c r="I49" s="148"/>
      <c r="J49" s="149" t="str">
        <f t="shared" si="9"/>
        <v/>
      </c>
      <c r="K49" s="63"/>
      <c r="L49" s="63"/>
      <c r="M49" s="63"/>
      <c r="N49" s="63"/>
      <c r="O49" s="63"/>
      <c r="P49" s="63"/>
      <c r="Q49" s="63"/>
      <c r="R49" s="63"/>
      <c r="S49" s="63"/>
      <c r="T49" s="63"/>
      <c r="U49" s="63"/>
      <c r="V49" s="63"/>
      <c r="W49" s="63"/>
      <c r="X49" s="63"/>
      <c r="Y49" s="63"/>
      <c r="Z49" s="63"/>
      <c r="AA49" s="63"/>
      <c r="AB49" s="63"/>
    </row>
    <row r="50" spans="1:29" s="64" customFormat="1" ht="12" customHeight="1" x14ac:dyDescent="0.15">
      <c r="A50" s="63"/>
      <c r="B50" s="134"/>
      <c r="C50" s="135"/>
      <c r="D50" s="135"/>
      <c r="E50" s="136" t="str">
        <f t="shared" si="8"/>
        <v/>
      </c>
      <c r="F50" s="63"/>
      <c r="G50" s="147"/>
      <c r="H50" s="148"/>
      <c r="I50" s="148"/>
      <c r="J50" s="149" t="str">
        <f t="shared" si="9"/>
        <v/>
      </c>
      <c r="K50" s="63"/>
      <c r="L50" s="63"/>
      <c r="M50" s="63"/>
      <c r="N50" s="63"/>
      <c r="O50" s="63"/>
      <c r="P50" s="63"/>
      <c r="Q50" s="63"/>
      <c r="R50" s="63"/>
      <c r="S50" s="63"/>
      <c r="T50" s="63"/>
      <c r="U50" s="63"/>
      <c r="V50" s="63"/>
      <c r="W50" s="63"/>
      <c r="X50" s="63"/>
      <c r="Y50" s="63"/>
      <c r="Z50" s="63"/>
      <c r="AA50" s="63"/>
      <c r="AB50" s="63"/>
    </row>
    <row r="51" spans="1:29" s="64" customFormat="1" ht="12" customHeight="1" x14ac:dyDescent="0.15">
      <c r="A51" s="63"/>
      <c r="B51" s="134"/>
      <c r="C51" s="135"/>
      <c r="D51" s="135"/>
      <c r="E51" s="136" t="str">
        <f t="shared" si="8"/>
        <v/>
      </c>
      <c r="F51" s="63"/>
      <c r="G51" s="147"/>
      <c r="H51" s="148"/>
      <c r="I51" s="148"/>
      <c r="J51" s="149" t="str">
        <f t="shared" si="9"/>
        <v/>
      </c>
      <c r="K51" s="63"/>
      <c r="L51" s="63"/>
      <c r="M51" s="63"/>
      <c r="N51" s="63"/>
      <c r="O51" s="63"/>
      <c r="P51" s="63"/>
      <c r="Q51" s="63"/>
      <c r="R51" s="63"/>
      <c r="S51" s="63"/>
      <c r="T51" s="63"/>
      <c r="U51" s="63"/>
      <c r="V51" s="63"/>
      <c r="W51" s="63"/>
      <c r="X51" s="63"/>
      <c r="Y51" s="63"/>
      <c r="Z51" s="63"/>
      <c r="AA51" s="63"/>
      <c r="AB51" s="63"/>
    </row>
    <row r="52" spans="1:29" s="64" customFormat="1" ht="12" customHeight="1" x14ac:dyDescent="0.15">
      <c r="A52" s="63"/>
      <c r="B52" s="134"/>
      <c r="C52" s="135"/>
      <c r="D52" s="135"/>
      <c r="E52" s="136" t="str">
        <f t="shared" si="8"/>
        <v/>
      </c>
      <c r="F52" s="63"/>
      <c r="G52" s="147"/>
      <c r="H52" s="148"/>
      <c r="I52" s="148"/>
      <c r="J52" s="149" t="str">
        <f t="shared" si="9"/>
        <v/>
      </c>
      <c r="K52" s="63"/>
      <c r="L52" s="63"/>
      <c r="M52" s="63"/>
      <c r="N52" s="63"/>
      <c r="O52" s="63"/>
      <c r="P52" s="63"/>
      <c r="Q52" s="63"/>
      <c r="R52" s="63"/>
      <c r="S52" s="63"/>
      <c r="T52" s="63"/>
      <c r="U52" s="63"/>
      <c r="V52" s="63"/>
      <c r="W52" s="63"/>
      <c r="X52" s="63"/>
      <c r="Y52" s="63"/>
      <c r="Z52" s="63"/>
      <c r="AA52" s="63"/>
      <c r="AB52" s="63"/>
    </row>
    <row r="53" spans="1:29" ht="12" customHeight="1" x14ac:dyDescent="0.15">
      <c r="AC53" s="64"/>
    </row>
    <row r="54" spans="1:29" ht="12" customHeight="1" x14ac:dyDescent="0.15">
      <c r="AC54" s="64"/>
    </row>
    <row r="55" spans="1:29" ht="12" customHeight="1" x14ac:dyDescent="0.15">
      <c r="AC55" s="64"/>
    </row>
    <row r="56" spans="1:29" ht="12" customHeight="1" x14ac:dyDescent="0.15">
      <c r="AC56" s="64"/>
    </row>
    <row r="57" spans="1:29" ht="12" customHeight="1" x14ac:dyDescent="0.15">
      <c r="AC57" s="64"/>
    </row>
    <row r="58" spans="1:29" ht="12" customHeight="1" x14ac:dyDescent="0.15">
      <c r="AC58" s="64"/>
    </row>
    <row r="59" spans="1:29" ht="12" customHeight="1" x14ac:dyDescent="0.15">
      <c r="AC59" s="64"/>
    </row>
    <row r="60" spans="1:29" ht="12" customHeight="1" x14ac:dyDescent="0.15">
      <c r="AC60" s="64"/>
    </row>
    <row r="61" spans="1:29" x14ac:dyDescent="0.15">
      <c r="AC61" s="64"/>
    </row>
    <row r="62" spans="1:29" x14ac:dyDescent="0.15">
      <c r="AC62" s="64"/>
    </row>
    <row r="63" spans="1:29" x14ac:dyDescent="0.15">
      <c r="AC63" s="64"/>
    </row>
    <row r="64" spans="1:29" x14ac:dyDescent="0.15">
      <c r="AC64" s="64"/>
    </row>
    <row r="65" spans="29:29" x14ac:dyDescent="0.15">
      <c r="AC65" s="64"/>
    </row>
    <row r="66" spans="29:29" x14ac:dyDescent="0.15">
      <c r="AC66" s="64"/>
    </row>
    <row r="67" spans="29:29" x14ac:dyDescent="0.15">
      <c r="AC67" s="64"/>
    </row>
    <row r="68" spans="29:29" x14ac:dyDescent="0.15">
      <c r="AC68" s="64"/>
    </row>
    <row r="69" spans="29:29" x14ac:dyDescent="0.15">
      <c r="AC69" s="64"/>
    </row>
    <row r="70" spans="29:29" x14ac:dyDescent="0.15">
      <c r="AC70" s="64"/>
    </row>
    <row r="71" spans="29:29" x14ac:dyDescent="0.15">
      <c r="AC71" s="64"/>
    </row>
    <row r="72" spans="29:29" x14ac:dyDescent="0.15">
      <c r="AC72" s="64"/>
    </row>
    <row r="73" spans="29:29" x14ac:dyDescent="0.15">
      <c r="AC73" s="64"/>
    </row>
    <row r="74" spans="29:29" x14ac:dyDescent="0.15">
      <c r="AC74" s="64"/>
    </row>
    <row r="75" spans="29:29" x14ac:dyDescent="0.15">
      <c r="AC75" s="64"/>
    </row>
    <row r="76" spans="29:29" x14ac:dyDescent="0.15">
      <c r="AC76" s="64"/>
    </row>
    <row r="77" spans="29:29" x14ac:dyDescent="0.15">
      <c r="AC77" s="64"/>
    </row>
    <row r="78" spans="29:29" x14ac:dyDescent="0.15">
      <c r="AC78" s="64"/>
    </row>
    <row r="79" spans="29:29" x14ac:dyDescent="0.15">
      <c r="AC79" s="64"/>
    </row>
    <row r="80" spans="29:29" x14ac:dyDescent="0.15">
      <c r="AC80" s="64"/>
    </row>
    <row r="81" spans="29:29" x14ac:dyDescent="0.15">
      <c r="AC81" s="64"/>
    </row>
    <row r="82" spans="29:29" x14ac:dyDescent="0.15">
      <c r="AC82" s="64"/>
    </row>
    <row r="83" spans="29:29" x14ac:dyDescent="0.15">
      <c r="AC83" s="64"/>
    </row>
    <row r="84" spans="29:29" x14ac:dyDescent="0.15">
      <c r="AC84" s="64"/>
    </row>
    <row r="85" spans="29:29" x14ac:dyDescent="0.15">
      <c r="AC85" s="64"/>
    </row>
    <row r="86" spans="29:29" x14ac:dyDescent="0.15">
      <c r="AC86" s="64"/>
    </row>
    <row r="87" spans="29:29" x14ac:dyDescent="0.15">
      <c r="AC87" s="64"/>
    </row>
    <row r="88" spans="29:29" x14ac:dyDescent="0.15">
      <c r="AC88" s="64"/>
    </row>
    <row r="89" spans="29:29" x14ac:dyDescent="0.15">
      <c r="AC89" s="64"/>
    </row>
    <row r="90" spans="29:29" x14ac:dyDescent="0.15">
      <c r="AC90" s="64"/>
    </row>
    <row r="91" spans="29:29" x14ac:dyDescent="0.15">
      <c r="AC91" s="64"/>
    </row>
    <row r="92" spans="29:29" x14ac:dyDescent="0.15">
      <c r="AC92" s="64"/>
    </row>
    <row r="93" spans="29:29" x14ac:dyDescent="0.15">
      <c r="AC93" s="64"/>
    </row>
    <row r="94" spans="29:29" x14ac:dyDescent="0.15">
      <c r="AC94" s="64"/>
    </row>
    <row r="95" spans="29:29" x14ac:dyDescent="0.15">
      <c r="AC95" s="64"/>
    </row>
    <row r="96" spans="29:29" x14ac:dyDescent="0.15">
      <c r="AC96" s="64"/>
    </row>
    <row r="97" spans="29:29" x14ac:dyDescent="0.15">
      <c r="AC97" s="64"/>
    </row>
    <row r="98" spans="29:29" x14ac:dyDescent="0.15">
      <c r="AC98" s="64"/>
    </row>
    <row r="99" spans="29:29" x14ac:dyDescent="0.15">
      <c r="AC99" s="64"/>
    </row>
    <row r="100" spans="29:29" x14ac:dyDescent="0.15">
      <c r="AC100" s="64"/>
    </row>
    <row r="101" spans="29:29" x14ac:dyDescent="0.15">
      <c r="AC101" s="64"/>
    </row>
    <row r="102" spans="29:29" x14ac:dyDescent="0.15">
      <c r="AC102" s="64"/>
    </row>
    <row r="103" spans="29:29" x14ac:dyDescent="0.15">
      <c r="AC103" s="64"/>
    </row>
    <row r="104" spans="29:29" x14ac:dyDescent="0.15">
      <c r="AC104" s="64"/>
    </row>
    <row r="105" spans="29:29" x14ac:dyDescent="0.15">
      <c r="AC105" s="64"/>
    </row>
    <row r="106" spans="29:29" x14ac:dyDescent="0.15">
      <c r="AC106" s="64"/>
    </row>
    <row r="107" spans="29:29" x14ac:dyDescent="0.15">
      <c r="AC107" s="64"/>
    </row>
    <row r="108" spans="29:29" x14ac:dyDescent="0.15">
      <c r="AC108" s="64"/>
    </row>
    <row r="109" spans="29:29" x14ac:dyDescent="0.15">
      <c r="AC109" s="64"/>
    </row>
    <row r="110" spans="29:29" x14ac:dyDescent="0.15">
      <c r="AC110" s="64"/>
    </row>
    <row r="111" spans="29:29" x14ac:dyDescent="0.15">
      <c r="AC111" s="64"/>
    </row>
    <row r="112" spans="29:29" x14ac:dyDescent="0.15">
      <c r="AC112" s="64"/>
    </row>
    <row r="113" spans="29:29" x14ac:dyDescent="0.15">
      <c r="AC113" s="64"/>
    </row>
    <row r="114" spans="29:29" x14ac:dyDescent="0.15">
      <c r="AC114" s="64"/>
    </row>
    <row r="115" spans="29:29" x14ac:dyDescent="0.15">
      <c r="AC115" s="64"/>
    </row>
    <row r="116" spans="29:29" x14ac:dyDescent="0.15">
      <c r="AC116" s="64"/>
    </row>
    <row r="117" spans="29:29" x14ac:dyDescent="0.15">
      <c r="AC117" s="64"/>
    </row>
    <row r="118" spans="29:29" x14ac:dyDescent="0.15">
      <c r="AC118" s="64"/>
    </row>
    <row r="119" spans="29:29" x14ac:dyDescent="0.15">
      <c r="AC119" s="64"/>
    </row>
    <row r="120" spans="29:29" x14ac:dyDescent="0.15">
      <c r="AC120" s="64"/>
    </row>
    <row r="121" spans="29:29" x14ac:dyDescent="0.15">
      <c r="AC121" s="64"/>
    </row>
    <row r="122" spans="29:29" x14ac:dyDescent="0.15">
      <c r="AC122" s="64"/>
    </row>
    <row r="123" spans="29:29" x14ac:dyDescent="0.15">
      <c r="AC123" s="64"/>
    </row>
    <row r="124" spans="29:29" x14ac:dyDescent="0.15">
      <c r="AC124" s="64"/>
    </row>
    <row r="125" spans="29:29" x14ac:dyDescent="0.15">
      <c r="AC125" s="64"/>
    </row>
    <row r="126" spans="29:29" x14ac:dyDescent="0.15">
      <c r="AC126" s="64"/>
    </row>
    <row r="127" spans="29:29" x14ac:dyDescent="0.15">
      <c r="AC127" s="64"/>
    </row>
    <row r="128" spans="29:29" x14ac:dyDescent="0.15">
      <c r="AC128" s="64"/>
    </row>
    <row r="129" spans="29:29" x14ac:dyDescent="0.15">
      <c r="AC129" s="64"/>
    </row>
    <row r="130" spans="29:29" x14ac:dyDescent="0.15">
      <c r="AC130" s="64"/>
    </row>
    <row r="131" spans="29:29" x14ac:dyDescent="0.15">
      <c r="AC131" s="64"/>
    </row>
    <row r="132" spans="29:29" x14ac:dyDescent="0.15">
      <c r="AC132" s="64"/>
    </row>
    <row r="133" spans="29:29" x14ac:dyDescent="0.15">
      <c r="AC133" s="64"/>
    </row>
    <row r="134" spans="29:29" x14ac:dyDescent="0.15">
      <c r="AC134" s="64"/>
    </row>
    <row r="135" spans="29:29" x14ac:dyDescent="0.15">
      <c r="AC135" s="64"/>
    </row>
    <row r="136" spans="29:29" x14ac:dyDescent="0.15">
      <c r="AC136" s="64"/>
    </row>
    <row r="137" spans="29:29" x14ac:dyDescent="0.15">
      <c r="AC137" s="64"/>
    </row>
    <row r="138" spans="29:29" x14ac:dyDescent="0.15">
      <c r="AC138" s="64"/>
    </row>
    <row r="139" spans="29:29" x14ac:dyDescent="0.15">
      <c r="AC139" s="64"/>
    </row>
    <row r="140" spans="29:29" x14ac:dyDescent="0.15">
      <c r="AC140" s="64"/>
    </row>
    <row r="141" spans="29:29" x14ac:dyDescent="0.15">
      <c r="AC141" s="64"/>
    </row>
    <row r="142" spans="29:29" x14ac:dyDescent="0.15">
      <c r="AC142" s="64"/>
    </row>
    <row r="143" spans="29:29" x14ac:dyDescent="0.15">
      <c r="AC143" s="64"/>
    </row>
    <row r="144" spans="29:29" x14ac:dyDescent="0.15">
      <c r="AC144" s="64"/>
    </row>
    <row r="145" spans="29:29" x14ac:dyDescent="0.15">
      <c r="AC145" s="64"/>
    </row>
    <row r="146" spans="29:29" x14ac:dyDescent="0.15">
      <c r="AC146" s="64"/>
    </row>
    <row r="147" spans="29:29" x14ac:dyDescent="0.15">
      <c r="AC147" s="64"/>
    </row>
    <row r="148" spans="29:29" x14ac:dyDescent="0.15">
      <c r="AC148" s="64"/>
    </row>
    <row r="149" spans="29:29" x14ac:dyDescent="0.15">
      <c r="AC149" s="64"/>
    </row>
    <row r="150" spans="29:29" x14ac:dyDescent="0.15">
      <c r="AC150" s="64"/>
    </row>
    <row r="151" spans="29:29" x14ac:dyDescent="0.15">
      <c r="AC151" s="64"/>
    </row>
    <row r="152" spans="29:29" x14ac:dyDescent="0.15">
      <c r="AC152" s="64"/>
    </row>
    <row r="153" spans="29:29" x14ac:dyDescent="0.15">
      <c r="AC153" s="64"/>
    </row>
    <row r="154" spans="29:29" x14ac:dyDescent="0.15">
      <c r="AC154" s="64"/>
    </row>
    <row r="155" spans="29:29" x14ac:dyDescent="0.15">
      <c r="AC155" s="64"/>
    </row>
  </sheetData>
  <sheetProtection password="B220" sheet="1" objects="1" scenarios="1"/>
  <mergeCells count="15">
    <mergeCell ref="C36:D36"/>
    <mergeCell ref="H36:I36"/>
    <mergeCell ref="Z2:AA2"/>
    <mergeCell ref="C18:D18"/>
    <mergeCell ref="H18:I18"/>
    <mergeCell ref="M18:N18"/>
    <mergeCell ref="R18:S18"/>
    <mergeCell ref="V23:W23"/>
    <mergeCell ref="Z23:AA23"/>
    <mergeCell ref="V2:W2"/>
    <mergeCell ref="B1:C1"/>
    <mergeCell ref="C2:D2"/>
    <mergeCell ref="H2:I2"/>
    <mergeCell ref="M2:N2"/>
    <mergeCell ref="R2:S2"/>
  </mergeCells>
  <phoneticPr fontId="3"/>
  <pageMargins left="0.75" right="0.75" top="1" bottom="1" header="0.51200000000000001" footer="0.51200000000000001"/>
  <pageSetup paperSize="9" orientation="portrait" horizontalDpi="0"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4"/>
  <sheetViews>
    <sheetView view="pageBreakPreview" zoomScaleNormal="85" zoomScaleSheetLayoutView="100" workbookViewId="0"/>
  </sheetViews>
  <sheetFormatPr defaultRowHeight="12" x14ac:dyDescent="0.15"/>
  <cols>
    <col min="1" max="1" width="1.25" style="372" customWidth="1"/>
    <col min="2" max="2" width="6.125" style="372" customWidth="1"/>
    <col min="3" max="3" width="3" style="372" customWidth="1"/>
    <col min="4" max="6" width="3.125" style="372" customWidth="1"/>
    <col min="7" max="27" width="6.25" style="372" customWidth="1"/>
    <col min="28" max="28" width="12" style="372" customWidth="1"/>
    <col min="29" max="29" width="1.25" style="372" customWidth="1"/>
    <col min="30" max="36" width="4.625" style="372" customWidth="1"/>
    <col min="37" max="16384" width="9" style="372"/>
  </cols>
  <sheetData>
    <row r="1" spans="2:35" ht="7.5" customHeight="1" thickBot="1" x14ac:dyDescent="0.2"/>
    <row r="2" spans="2:35" ht="13.5" customHeight="1" x14ac:dyDescent="0.15">
      <c r="B2" s="768" t="s">
        <v>97</v>
      </c>
      <c r="C2" s="769"/>
      <c r="D2" s="770"/>
      <c r="E2" s="771"/>
      <c r="F2" s="772"/>
      <c r="G2" s="772"/>
      <c r="H2" s="373" t="str">
        <f>誤差比較!E11</f>
        <v>3φ3W</v>
      </c>
      <c r="I2" s="374">
        <f>誤差比較!N13</f>
        <v>50</v>
      </c>
      <c r="J2" s="773" t="s">
        <v>98</v>
      </c>
      <c r="K2" s="774"/>
      <c r="L2" s="154">
        <f>IF(SUM(AG10:AG53)="","",SUM(AG10:AG53))</f>
        <v>43.508267614047661</v>
      </c>
      <c r="M2" s="775" t="s">
        <v>99</v>
      </c>
      <c r="N2" s="776"/>
      <c r="O2" s="776"/>
      <c r="P2" s="777"/>
      <c r="Q2" s="775" t="s">
        <v>100</v>
      </c>
      <c r="R2" s="776"/>
      <c r="S2" s="776"/>
      <c r="T2" s="777"/>
      <c r="U2" s="778"/>
      <c r="V2" s="779"/>
      <c r="W2" s="780"/>
      <c r="X2" s="155" t="s">
        <v>101</v>
      </c>
      <c r="Y2" s="156"/>
      <c r="Z2" s="156"/>
      <c r="AA2" s="156"/>
      <c r="AB2" s="157"/>
    </row>
    <row r="3" spans="2:35" ht="12" customHeight="1" x14ac:dyDescent="0.15">
      <c r="B3" s="800" t="s">
        <v>102</v>
      </c>
      <c r="C3" s="801"/>
      <c r="D3" s="802"/>
      <c r="E3" s="803"/>
      <c r="F3" s="804"/>
      <c r="G3" s="804"/>
      <c r="H3" s="158" t="s">
        <v>103</v>
      </c>
      <c r="I3" s="159">
        <v>6600</v>
      </c>
      <c r="J3" s="805" t="s">
        <v>104</v>
      </c>
      <c r="K3" s="806"/>
      <c r="L3" s="160">
        <f>IF(SUM(AH10:AH53)="","",SUM(AH10:AH53))</f>
        <v>38.760540708583108</v>
      </c>
      <c r="M3" s="807" t="s">
        <v>105</v>
      </c>
      <c r="N3" s="808"/>
      <c r="O3" s="809"/>
      <c r="P3" s="161">
        <f>IF(H5="","",100*P6/H5)</f>
        <v>52.715416328274472</v>
      </c>
      <c r="Q3" s="807" t="s">
        <v>105</v>
      </c>
      <c r="R3" s="808"/>
      <c r="S3" s="809"/>
      <c r="T3" s="161">
        <f>IF(H5="","",100*T6/H5)</f>
        <v>52.715416328274472</v>
      </c>
      <c r="U3" s="810"/>
      <c r="V3" s="811"/>
      <c r="W3" s="812"/>
      <c r="X3" s="781" t="s">
        <v>106</v>
      </c>
      <c r="Y3" s="782"/>
      <c r="Z3" s="782"/>
      <c r="AA3" s="782"/>
      <c r="AB3" s="783"/>
    </row>
    <row r="4" spans="2:35" ht="11.25" customHeight="1" x14ac:dyDescent="0.15">
      <c r="B4" s="787" t="s">
        <v>107</v>
      </c>
      <c r="C4" s="788"/>
      <c r="D4" s="789"/>
      <c r="E4" s="790"/>
      <c r="F4" s="791"/>
      <c r="G4" s="791"/>
      <c r="H4" s="162" t="s">
        <v>108</v>
      </c>
      <c r="I4" s="163">
        <f>誤差比較!K13</f>
        <v>210</v>
      </c>
      <c r="J4" s="792" t="s">
        <v>109</v>
      </c>
      <c r="K4" s="793"/>
      <c r="L4" s="164">
        <f>IF(SUM(AI10:AI53)="","",SUM(AI10:AI53))</f>
        <v>58.286892615799786</v>
      </c>
      <c r="M4" s="794" t="s">
        <v>110</v>
      </c>
      <c r="N4" s="795"/>
      <c r="O4" s="796"/>
      <c r="P4" s="160">
        <f>IF(SUM(Y10:Y53)="","",SUM(Y10:Y53))</f>
        <v>39.292888979741477</v>
      </c>
      <c r="Q4" s="794" t="s">
        <v>110</v>
      </c>
      <c r="R4" s="795"/>
      <c r="S4" s="796"/>
      <c r="T4" s="160">
        <f>IF(SUM(Y10:Y53)="","",SUM(Y10:Y53))</f>
        <v>39.292888979741477</v>
      </c>
      <c r="U4" s="797" t="s">
        <v>111</v>
      </c>
      <c r="V4" s="798"/>
      <c r="W4" s="799"/>
      <c r="X4" s="784"/>
      <c r="Y4" s="785"/>
      <c r="Z4" s="785"/>
      <c r="AA4" s="785"/>
      <c r="AB4" s="786"/>
    </row>
    <row r="5" spans="2:35" ht="11.25" customHeight="1" x14ac:dyDescent="0.15">
      <c r="B5" s="165" t="s">
        <v>112</v>
      </c>
      <c r="C5" s="166"/>
      <c r="D5" s="166"/>
      <c r="E5" s="839" t="s">
        <v>113</v>
      </c>
      <c r="F5" s="840"/>
      <c r="G5" s="840"/>
      <c r="H5" s="843">
        <f>誤差比較!E13</f>
        <v>100</v>
      </c>
      <c r="I5" s="167"/>
      <c r="J5" s="805" t="s">
        <v>114</v>
      </c>
      <c r="K5" s="806"/>
      <c r="L5" s="375"/>
      <c r="M5" s="794" t="s">
        <v>115</v>
      </c>
      <c r="N5" s="795"/>
      <c r="O5" s="796"/>
      <c r="P5" s="160">
        <f>IF(SUM(Z10:Z53)="","",SUM(Z10:Z53))</f>
        <v>35.142339055461541</v>
      </c>
      <c r="Q5" s="794" t="s">
        <v>115</v>
      </c>
      <c r="R5" s="795"/>
      <c r="S5" s="796"/>
      <c r="T5" s="160">
        <f>IF(SUM(Z10:Z53)="","",SUM(Z10:Z53)-U5+U7)</f>
        <v>35.142339055461541</v>
      </c>
      <c r="U5" s="846"/>
      <c r="V5" s="847"/>
      <c r="W5" s="168" t="str">
        <f>IF(U5="","","[KVar]")</f>
        <v/>
      </c>
      <c r="X5" s="827" t="s">
        <v>116</v>
      </c>
      <c r="Y5" s="828"/>
      <c r="Z5" s="828"/>
      <c r="AA5" s="829" t="s">
        <v>324</v>
      </c>
      <c r="AB5" s="830"/>
    </row>
    <row r="6" spans="2:35" ht="12" customHeight="1" x14ac:dyDescent="0.15">
      <c r="B6" s="831" t="s">
        <v>117</v>
      </c>
      <c r="C6" s="832"/>
      <c r="D6" s="832"/>
      <c r="E6" s="841"/>
      <c r="F6" s="842"/>
      <c r="G6" s="842"/>
      <c r="H6" s="844"/>
      <c r="I6" s="169" t="str">
        <f>IF(H5="","","[KVA]")</f>
        <v>[KVA]</v>
      </c>
      <c r="J6" s="833" t="s">
        <v>118</v>
      </c>
      <c r="K6" s="834"/>
      <c r="L6" s="835"/>
      <c r="M6" s="794" t="s">
        <v>119</v>
      </c>
      <c r="N6" s="795"/>
      <c r="O6" s="796"/>
      <c r="P6" s="160">
        <f>IF(P4="","",SQRT(P4^2+P5^2))</f>
        <v>52.715416328274472</v>
      </c>
      <c r="Q6" s="794" t="s">
        <v>119</v>
      </c>
      <c r="R6" s="795"/>
      <c r="S6" s="796"/>
      <c r="T6" s="160">
        <f>IF(T4="","",SQRT(T4^2+T5^2))</f>
        <v>52.715416328274472</v>
      </c>
      <c r="U6" s="797" t="s">
        <v>120</v>
      </c>
      <c r="V6" s="798"/>
      <c r="W6" s="799"/>
      <c r="X6" s="836" t="s">
        <v>121</v>
      </c>
      <c r="Y6" s="837"/>
      <c r="Z6" s="837"/>
      <c r="AA6" s="837"/>
      <c r="AB6" s="838"/>
    </row>
    <row r="7" spans="2:35" ht="12" customHeight="1" x14ac:dyDescent="0.15">
      <c r="B7" s="813" t="str">
        <f>IF(P6&gt;=H5*0.9,"Over Load","")</f>
        <v/>
      </c>
      <c r="C7" s="814"/>
      <c r="D7" s="815"/>
      <c r="E7" s="841"/>
      <c r="F7" s="842"/>
      <c r="G7" s="842"/>
      <c r="H7" s="845"/>
      <c r="I7" s="170"/>
      <c r="J7" s="816" t="str">
        <f>誤差比較!R13</f>
        <v>油入自冷</v>
      </c>
      <c r="K7" s="817"/>
      <c r="L7" s="818"/>
      <c r="M7" s="819" t="s">
        <v>122</v>
      </c>
      <c r="N7" s="820"/>
      <c r="O7" s="821"/>
      <c r="P7" s="171">
        <f>IF(P4=0,"",IF(P5&gt;=0,P4/P6,-P4/P6))</f>
        <v>0.74537757105156954</v>
      </c>
      <c r="Q7" s="819" t="s">
        <v>122</v>
      </c>
      <c r="R7" s="820"/>
      <c r="S7" s="821"/>
      <c r="T7" s="171">
        <f>IF(T4=0,"",IF(T5&gt;=0,T4/T6,-T4/T6))</f>
        <v>0.74537757105156954</v>
      </c>
      <c r="U7" s="822"/>
      <c r="V7" s="823"/>
      <c r="W7" s="172" t="str">
        <f>IF(U7="","","[KVar]")</f>
        <v/>
      </c>
      <c r="X7" s="824" t="s">
        <v>123</v>
      </c>
      <c r="Y7" s="825"/>
      <c r="Z7" s="825"/>
      <c r="AA7" s="825"/>
      <c r="AB7" s="826"/>
    </row>
    <row r="8" spans="2:35" ht="11.25" customHeight="1" x14ac:dyDescent="0.15">
      <c r="B8" s="173" t="s">
        <v>124</v>
      </c>
      <c r="C8" s="869" t="s">
        <v>125</v>
      </c>
      <c r="D8" s="870"/>
      <c r="E8" s="870"/>
      <c r="F8" s="873" t="s">
        <v>126</v>
      </c>
      <c r="G8" s="874"/>
      <c r="H8" s="869" t="s">
        <v>127</v>
      </c>
      <c r="I8" s="870"/>
      <c r="J8" s="870"/>
      <c r="K8" s="870"/>
      <c r="L8" s="174" t="s">
        <v>128</v>
      </c>
      <c r="M8" s="175" t="s">
        <v>129</v>
      </c>
      <c r="N8" s="877" t="s">
        <v>130</v>
      </c>
      <c r="O8" s="879" t="s">
        <v>131</v>
      </c>
      <c r="P8" s="880"/>
      <c r="Q8" s="880"/>
      <c r="R8" s="880" t="s">
        <v>132</v>
      </c>
      <c r="S8" s="880"/>
      <c r="T8" s="880"/>
      <c r="U8" s="176" t="s">
        <v>133</v>
      </c>
      <c r="V8" s="177" t="s">
        <v>134</v>
      </c>
      <c r="W8" s="176" t="s">
        <v>135</v>
      </c>
      <c r="X8" s="858" t="s">
        <v>136</v>
      </c>
      <c r="Y8" s="178" t="s">
        <v>137</v>
      </c>
      <c r="Z8" s="178" t="s">
        <v>137</v>
      </c>
      <c r="AA8" s="178" t="s">
        <v>137</v>
      </c>
      <c r="AB8" s="860" t="s">
        <v>138</v>
      </c>
    </row>
    <row r="9" spans="2:35" ht="11.25" customHeight="1" x14ac:dyDescent="0.15">
      <c r="B9" s="179" t="s">
        <v>139</v>
      </c>
      <c r="C9" s="871"/>
      <c r="D9" s="872"/>
      <c r="E9" s="872"/>
      <c r="F9" s="875"/>
      <c r="G9" s="876"/>
      <c r="H9" s="871"/>
      <c r="I9" s="872"/>
      <c r="J9" s="872"/>
      <c r="K9" s="872"/>
      <c r="L9" s="180" t="s">
        <v>140</v>
      </c>
      <c r="M9" s="181" t="s">
        <v>141</v>
      </c>
      <c r="N9" s="878"/>
      <c r="O9" s="182" t="s">
        <v>142</v>
      </c>
      <c r="P9" s="183" t="s">
        <v>143</v>
      </c>
      <c r="Q9" s="183" t="s">
        <v>144</v>
      </c>
      <c r="R9" s="182" t="s">
        <v>142</v>
      </c>
      <c r="S9" s="183" t="s">
        <v>143</v>
      </c>
      <c r="T9" s="183" t="s">
        <v>144</v>
      </c>
      <c r="U9" s="184" t="s">
        <v>145</v>
      </c>
      <c r="V9" s="185" t="s">
        <v>146</v>
      </c>
      <c r="W9" s="186" t="s">
        <v>143</v>
      </c>
      <c r="X9" s="859"/>
      <c r="Y9" s="187" t="s">
        <v>147</v>
      </c>
      <c r="Z9" s="188" t="s">
        <v>148</v>
      </c>
      <c r="AA9" s="189" t="s">
        <v>149</v>
      </c>
      <c r="AB9" s="861"/>
    </row>
    <row r="10" spans="2:35" x14ac:dyDescent="0.15">
      <c r="B10" s="190"/>
      <c r="C10" s="862"/>
      <c r="D10" s="863"/>
      <c r="E10" s="863"/>
      <c r="F10" s="864"/>
      <c r="G10" s="865"/>
      <c r="H10" s="866"/>
      <c r="I10" s="867"/>
      <c r="J10" s="867"/>
      <c r="K10" s="867"/>
      <c r="L10" s="376"/>
      <c r="M10" s="377"/>
      <c r="N10" s="378"/>
      <c r="O10" s="191" t="str">
        <f t="shared" ref="O10:O18" si="0">IF(L10="IM-4P",IF(R10="",IF(I$2=50,IF(ISNA(VLOOKUP(M10,電動機５０,3,FALSE)),"",VLOOKUP(M10,電動機５０,3,FALSE)),IF(I$2=60,IF(ISNA(VLOOKUP(M10,電動機６０,3,FALSE)),"",VLOOKUP(M10,電動機６０,3,FALSE)),"")),""),"")</f>
        <v/>
      </c>
      <c r="P10" s="192" t="str">
        <f>IF(L10="IM-4P",IF(S10="",IF(I$2=50,IF(ISNA(VLOOKUP(M10,電動機５０,4,FALSE)),"",VLOOKUP(M10,電動機５０,4,FALSE)),IF(I$2=60,IF(ISNA(VLOOKUP(M10,電動機６０,4,FALSE)),"",VLOOKUP(M10,電動機６０,4,FALSE)),"")),""),"")</f>
        <v/>
      </c>
      <c r="Q10" s="192" t="str">
        <f>IF(L10="IM-4P",IF(T10="",IF(I$2=50,IF(ISNA(VLOOKUP(M10,電動機５０,2,FALSE)),"",VLOOKUP(M10,電動機５０,2,FALSE)),IF(I$2=60,IF(ISNA(VLOOKUP(M10,電動機６０,2,FALSE)),"",VLOOKUP(M10,電動機６０,2,FALSE)),"")),""),"")</f>
        <v/>
      </c>
      <c r="R10" s="379"/>
      <c r="S10" s="379"/>
      <c r="T10" s="379"/>
      <c r="U10" s="193" t="str">
        <f t="shared" ref="U10:U53" si="1">IF(M10="","",IF(AND(R10="",T10=""),M10*N10*Q10/O10,IF(AND(R10="",T10&lt;&gt;""),M10*N10*T10/O10,IF(AND(R10&lt;&gt;"",T10=""),M10*N10*Q10/R10,IF(AND(R10&lt;&gt;"",T10&lt;&gt;""),M10*N10*T10/R10)))))</f>
        <v/>
      </c>
      <c r="V10" s="380"/>
      <c r="W10" s="381"/>
      <c r="X10" s="382"/>
      <c r="Y10" s="194" t="str">
        <f t="shared" ref="Y10:Y53" si="2">IF(AND(U10="",V10=""),"",IF(U10="",N10*X10*V10*W10/100,X10*(U10+N10*V10*W10/100)))</f>
        <v/>
      </c>
      <c r="Z10" s="192" t="str">
        <f>IF(Y10="","",N10*V10*X10*SQRT(1-(W10/100)^2)+AE10)</f>
        <v/>
      </c>
      <c r="AA10" s="195" t="str">
        <f t="shared" ref="AA10:AA53" si="3">IF(Y10="","",SQRT(Y10^2+Z10^2))</f>
        <v/>
      </c>
      <c r="AB10" s="383"/>
      <c r="AD10" s="196" t="str">
        <f t="shared" ref="AD10:AD53" si="4">IF(OR(AND(M10&lt;&gt;"",N10="",V10=""),AND(M10="",N10&lt;&gt;"",V10=""),AND(O10="",R10="",M10&lt;&gt;""),AND(P10="",S10="",M10&lt;&gt;""),AND(Q10="",T10="",M10&lt;&gt;"")),"▲","")</f>
        <v/>
      </c>
      <c r="AE10" s="384">
        <f>IF(AND(P10="",S10=""),0,IF(S10="",U10*X10*SQRT(1-(P10/100)^2)/(P10/100),U10*X10*SQRT(1-(S10/100)^2)/(S10/100)))</f>
        <v>0</v>
      </c>
      <c r="AG10" s="197" t="str">
        <f t="shared" ref="AG10:AG17" si="5">IF(Y10="","",Y10/X10)</f>
        <v/>
      </c>
      <c r="AH10" s="197" t="str">
        <f t="shared" ref="AH10:AH53" si="6">IF(Y10="","",Z10/X10)</f>
        <v/>
      </c>
      <c r="AI10" s="197" t="str">
        <f t="shared" ref="AI10:AI53" si="7">IF(Y10="","",AA10/X10)</f>
        <v/>
      </c>
    </row>
    <row r="11" spans="2:35" ht="12" customHeight="1" x14ac:dyDescent="0.15">
      <c r="B11" s="190"/>
      <c r="C11" s="862" t="str">
        <f>誤差比較!S17</f>
        <v>動力盤-1</v>
      </c>
      <c r="D11" s="863"/>
      <c r="E11" s="863"/>
      <c r="F11" s="864"/>
      <c r="G11" s="865"/>
      <c r="H11" s="866" t="s">
        <v>172</v>
      </c>
      <c r="I11" s="867"/>
      <c r="J11" s="867"/>
      <c r="K11" s="868"/>
      <c r="L11" s="376" t="s">
        <v>150</v>
      </c>
      <c r="M11" s="377">
        <f>誤差比較!U17</f>
        <v>5.5</v>
      </c>
      <c r="N11" s="378">
        <f>誤差比較!X17</f>
        <v>6</v>
      </c>
      <c r="O11" s="191">
        <f t="shared" si="0"/>
        <v>89.283471074380159</v>
      </c>
      <c r="P11" s="192">
        <f t="shared" ref="P11:P18" si="8">IF(L11="IM-4P",IF(S11="",IF($I$2=50,IF(ISNA(VLOOKUP(M11,電動機５０,4,FALSE)),"",VLOOKUP(M11,電動機５０,4,FALSE)),IF($I$2=60,IF(ISNA(VLOOKUP(M11,電動機６０,4,FALSE)),"",VLOOKUP(M11,電動機６０,4,FALSE)),"")),""),"")</f>
        <v>75.880991735537179</v>
      </c>
      <c r="Q11" s="192">
        <f t="shared" ref="Q11:Q18" si="9">IF(L11="IM-4P",IF(T11="",IF($I$2=50,IF(ISNA(VLOOKUP(M11,電動機５０,2,FALSE)),"",VLOOKUP(M11,電動機５０,2,FALSE)),IF($I$2=60,IF(ISNA(VLOOKUP(M11,電動機６０,2,FALSE)),"",VLOOKUP(M11,電動機６０,2,FALSE)),"")),""),"")</f>
        <v>76.033057851239647</v>
      </c>
      <c r="R11" s="379"/>
      <c r="S11" s="379"/>
      <c r="T11" s="379"/>
      <c r="U11" s="193">
        <f>IF(M11="","",IF(AND(R11="",T11=""),M11*N11*Q11/O11,IF(AND(R11="",T11&lt;&gt;""),M11*N11*T11/O11,IF(AND(R11&lt;&gt;"",T11=""),M11*N11*Q11/R11,IF(AND(R11&lt;&gt;"",T11&lt;&gt;""),M11*N11*T11/R11)))))</f>
        <v>28.102524228707889</v>
      </c>
      <c r="V11" s="385"/>
      <c r="W11" s="381"/>
      <c r="X11" s="382">
        <f>誤差比較!AI17</f>
        <v>0.85</v>
      </c>
      <c r="Y11" s="198">
        <f>IF(AND(U11="",V11=""),"",IF(U11="",N11*X11*V11*W11/100,X11*(U11+N11*V11*W11/100)))</f>
        <v>23.887145594401705</v>
      </c>
      <c r="Z11" s="199">
        <f t="shared" ref="Z11:Z53" si="10">IF(Y11="","",N11*V11*X11*SQRT(1-(W11/100)^2)+AE11)</f>
        <v>20.503142701022217</v>
      </c>
      <c r="AA11" s="200">
        <f t="shared" si="3"/>
        <v>31.479748812000157</v>
      </c>
      <c r="AB11" s="386"/>
      <c r="AD11" s="196" t="str">
        <f t="shared" si="4"/>
        <v/>
      </c>
      <c r="AE11" s="384">
        <f>IF(AND(P11="",S11=""),0,IF(S11="",U11*X11*SQRT(1-(P11/100)^2)/(P11/100),U11*X11*SQRT(1-(S11/100)^2)/(S11/100)))</f>
        <v>20.503142701022217</v>
      </c>
      <c r="AG11" s="197">
        <f>IF(Y11="","",Y11/X11)</f>
        <v>28.102524228707889</v>
      </c>
      <c r="AH11" s="197">
        <f t="shared" si="6"/>
        <v>24.121344354143783</v>
      </c>
      <c r="AI11" s="197">
        <f t="shared" si="7"/>
        <v>37.034998602353127</v>
      </c>
    </row>
    <row r="12" spans="2:35" x14ac:dyDescent="0.15">
      <c r="B12" s="201"/>
      <c r="C12" s="848"/>
      <c r="D12" s="849"/>
      <c r="E12" s="849"/>
      <c r="F12" s="850"/>
      <c r="G12" s="851"/>
      <c r="H12" s="852"/>
      <c r="I12" s="853"/>
      <c r="J12" s="853"/>
      <c r="K12" s="853"/>
      <c r="L12" s="376"/>
      <c r="M12" s="377"/>
      <c r="N12" s="378"/>
      <c r="O12" s="191" t="str">
        <f t="shared" si="0"/>
        <v/>
      </c>
      <c r="P12" s="192" t="str">
        <f t="shared" si="8"/>
        <v/>
      </c>
      <c r="Q12" s="192" t="str">
        <f t="shared" si="9"/>
        <v/>
      </c>
      <c r="R12" s="379"/>
      <c r="S12" s="379"/>
      <c r="T12" s="379"/>
      <c r="U12" s="193" t="str">
        <f t="shared" si="1"/>
        <v/>
      </c>
      <c r="V12" s="385"/>
      <c r="W12" s="381"/>
      <c r="X12" s="382"/>
      <c r="Y12" s="198" t="str">
        <f t="shared" si="2"/>
        <v/>
      </c>
      <c r="Z12" s="199" t="str">
        <f t="shared" si="10"/>
        <v/>
      </c>
      <c r="AA12" s="200" t="str">
        <f t="shared" si="3"/>
        <v/>
      </c>
      <c r="AB12" s="386"/>
      <c r="AD12" s="196" t="str">
        <f t="shared" si="4"/>
        <v/>
      </c>
      <c r="AE12" s="384">
        <f t="shared" ref="AE12:AE53" si="11">IF(AND(P12="",S12=""),0,IF(S12="",U12*X12*SQRT(1-(P12/100)^2)/(P12/100),U12*X12*SQRT(1-(S12/100)^2)/(S12/100)))</f>
        <v>0</v>
      </c>
      <c r="AG12" s="197" t="str">
        <f t="shared" si="5"/>
        <v/>
      </c>
      <c r="AH12" s="197" t="str">
        <f t="shared" si="6"/>
        <v/>
      </c>
      <c r="AI12" s="197" t="str">
        <f t="shared" si="7"/>
        <v/>
      </c>
    </row>
    <row r="13" spans="2:35" x14ac:dyDescent="0.15">
      <c r="B13" s="201"/>
      <c r="C13" s="848"/>
      <c r="D13" s="849"/>
      <c r="E13" s="849"/>
      <c r="F13" s="854" t="s">
        <v>151</v>
      </c>
      <c r="G13" s="855"/>
      <c r="H13" s="856" t="str">
        <f>" 設備容量 "&amp;INT(1000*SUM(AI11:AI12))/1000&amp;" [KVA]"</f>
        <v xml:space="preserve"> 設備容量 37.034 [KVA]</v>
      </c>
      <c r="I13" s="857"/>
      <c r="J13" s="857"/>
      <c r="K13" s="857"/>
      <c r="L13" s="376"/>
      <c r="M13" s="377"/>
      <c r="N13" s="378"/>
      <c r="O13" s="191" t="str">
        <f t="shared" si="0"/>
        <v/>
      </c>
      <c r="P13" s="192" t="str">
        <f t="shared" si="8"/>
        <v/>
      </c>
      <c r="Q13" s="192" t="str">
        <f t="shared" si="9"/>
        <v/>
      </c>
      <c r="R13" s="379"/>
      <c r="S13" s="379"/>
      <c r="T13" s="379"/>
      <c r="U13" s="193" t="str">
        <f t="shared" si="1"/>
        <v/>
      </c>
      <c r="V13" s="385"/>
      <c r="W13" s="381"/>
      <c r="X13" s="382"/>
      <c r="Y13" s="198" t="str">
        <f t="shared" si="2"/>
        <v/>
      </c>
      <c r="Z13" s="199" t="str">
        <f t="shared" si="10"/>
        <v/>
      </c>
      <c r="AA13" s="200" t="str">
        <f t="shared" si="3"/>
        <v/>
      </c>
      <c r="AB13" s="386"/>
      <c r="AD13" s="196" t="str">
        <f t="shared" si="4"/>
        <v/>
      </c>
      <c r="AE13" s="384">
        <f t="shared" si="11"/>
        <v>0</v>
      </c>
      <c r="AG13" s="197" t="str">
        <f t="shared" si="5"/>
        <v/>
      </c>
      <c r="AH13" s="197" t="str">
        <f t="shared" si="6"/>
        <v/>
      </c>
      <c r="AI13" s="197" t="str">
        <f t="shared" si="7"/>
        <v/>
      </c>
    </row>
    <row r="14" spans="2:35" x14ac:dyDescent="0.15">
      <c r="B14" s="201"/>
      <c r="C14" s="862"/>
      <c r="D14" s="863"/>
      <c r="E14" s="863"/>
      <c r="F14" s="854"/>
      <c r="G14" s="855"/>
      <c r="H14" s="856" t="str">
        <f>" 需要KW   "&amp;INT(1000*SUM(Y11:Y12))/1000&amp;" [KW]"</f>
        <v xml:space="preserve"> 需要KW   23.887 [KW]</v>
      </c>
      <c r="I14" s="881"/>
      <c r="J14" s="881"/>
      <c r="K14" s="882"/>
      <c r="L14" s="376"/>
      <c r="M14" s="377"/>
      <c r="N14" s="378"/>
      <c r="O14" s="191" t="str">
        <f t="shared" si="0"/>
        <v/>
      </c>
      <c r="P14" s="192" t="str">
        <f t="shared" si="8"/>
        <v/>
      </c>
      <c r="Q14" s="192" t="str">
        <f t="shared" si="9"/>
        <v/>
      </c>
      <c r="R14" s="379"/>
      <c r="S14" s="379"/>
      <c r="T14" s="379"/>
      <c r="U14" s="193" t="str">
        <f t="shared" si="1"/>
        <v/>
      </c>
      <c r="V14" s="385"/>
      <c r="W14" s="381"/>
      <c r="X14" s="382"/>
      <c r="Y14" s="198" t="str">
        <f t="shared" si="2"/>
        <v/>
      </c>
      <c r="Z14" s="199" t="str">
        <f t="shared" si="10"/>
        <v/>
      </c>
      <c r="AA14" s="200" t="str">
        <f t="shared" si="3"/>
        <v/>
      </c>
      <c r="AB14" s="386"/>
      <c r="AD14" s="196" t="str">
        <f t="shared" si="4"/>
        <v/>
      </c>
      <c r="AE14" s="384">
        <f t="shared" si="11"/>
        <v>0</v>
      </c>
      <c r="AG14" s="197" t="str">
        <f t="shared" si="5"/>
        <v/>
      </c>
      <c r="AH14" s="197" t="str">
        <f t="shared" si="6"/>
        <v/>
      </c>
      <c r="AI14" s="197" t="str">
        <f t="shared" si="7"/>
        <v/>
      </c>
    </row>
    <row r="15" spans="2:35" x14ac:dyDescent="0.15">
      <c r="B15" s="190"/>
      <c r="C15" s="862"/>
      <c r="D15" s="863"/>
      <c r="E15" s="863"/>
      <c r="F15" s="854"/>
      <c r="G15" s="855"/>
      <c r="H15" s="856" t="str">
        <f>" 需要KVA  "&amp;INT(1000*SQRT(Y11^2+Z11^2))/1000&amp;" [KVA]"</f>
        <v xml:space="preserve"> 需要KVA  31.479 [KVA]</v>
      </c>
      <c r="I15" s="857"/>
      <c r="J15" s="857"/>
      <c r="K15" s="857"/>
      <c r="L15" s="376"/>
      <c r="M15" s="377"/>
      <c r="N15" s="378"/>
      <c r="O15" s="191" t="str">
        <f t="shared" si="0"/>
        <v/>
      </c>
      <c r="P15" s="192" t="str">
        <f t="shared" si="8"/>
        <v/>
      </c>
      <c r="Q15" s="192" t="str">
        <f t="shared" si="9"/>
        <v/>
      </c>
      <c r="R15" s="379"/>
      <c r="S15" s="379"/>
      <c r="T15" s="379"/>
      <c r="U15" s="193" t="str">
        <f t="shared" si="1"/>
        <v/>
      </c>
      <c r="V15" s="385"/>
      <c r="W15" s="381"/>
      <c r="X15" s="382"/>
      <c r="Y15" s="198" t="str">
        <f t="shared" si="2"/>
        <v/>
      </c>
      <c r="Z15" s="199" t="str">
        <f t="shared" si="10"/>
        <v/>
      </c>
      <c r="AA15" s="200" t="str">
        <f t="shared" si="3"/>
        <v/>
      </c>
      <c r="AB15" s="386"/>
      <c r="AD15" s="196" t="str">
        <f t="shared" si="4"/>
        <v/>
      </c>
      <c r="AE15" s="384">
        <f t="shared" si="11"/>
        <v>0</v>
      </c>
      <c r="AG15" s="197" t="str">
        <f t="shared" si="5"/>
        <v/>
      </c>
      <c r="AH15" s="197" t="str">
        <f t="shared" si="6"/>
        <v/>
      </c>
      <c r="AI15" s="197" t="str">
        <f t="shared" si="7"/>
        <v/>
      </c>
    </row>
    <row r="16" spans="2:35" x14ac:dyDescent="0.15">
      <c r="B16" s="190"/>
      <c r="C16" s="862"/>
      <c r="D16" s="863"/>
      <c r="E16" s="863"/>
      <c r="F16" s="854"/>
      <c r="G16" s="855"/>
      <c r="H16" s="856" t="str">
        <f>" 需要Kvar "&amp;INT(1000*SUM(Z11:Z12))/1000&amp;" [KVar]"</f>
        <v xml:space="preserve"> 需要Kvar 20.503 [KVar]</v>
      </c>
      <c r="I16" s="857"/>
      <c r="J16" s="857"/>
      <c r="K16" s="857"/>
      <c r="L16" s="376"/>
      <c r="M16" s="377"/>
      <c r="N16" s="378"/>
      <c r="O16" s="191" t="str">
        <f t="shared" si="0"/>
        <v/>
      </c>
      <c r="P16" s="192" t="str">
        <f t="shared" si="8"/>
        <v/>
      </c>
      <c r="Q16" s="192" t="str">
        <f t="shared" si="9"/>
        <v/>
      </c>
      <c r="R16" s="379"/>
      <c r="S16" s="379"/>
      <c r="T16" s="379"/>
      <c r="U16" s="193" t="str">
        <f t="shared" si="1"/>
        <v/>
      </c>
      <c r="V16" s="385"/>
      <c r="W16" s="381"/>
      <c r="X16" s="382"/>
      <c r="Y16" s="198" t="str">
        <f t="shared" si="2"/>
        <v/>
      </c>
      <c r="Z16" s="199" t="str">
        <f t="shared" si="10"/>
        <v/>
      </c>
      <c r="AA16" s="200" t="str">
        <f t="shared" si="3"/>
        <v/>
      </c>
      <c r="AB16" s="386"/>
      <c r="AD16" s="196" t="str">
        <f t="shared" si="4"/>
        <v/>
      </c>
      <c r="AE16" s="384">
        <f t="shared" si="11"/>
        <v>0</v>
      </c>
      <c r="AG16" s="197" t="str">
        <f t="shared" si="5"/>
        <v/>
      </c>
      <c r="AH16" s="197" t="str">
        <f t="shared" si="6"/>
        <v/>
      </c>
      <c r="AI16" s="197" t="str">
        <f t="shared" si="7"/>
        <v/>
      </c>
    </row>
    <row r="17" spans="2:35" x14ac:dyDescent="0.15">
      <c r="B17" s="190"/>
      <c r="C17" s="862"/>
      <c r="D17" s="863"/>
      <c r="E17" s="863"/>
      <c r="F17" s="850"/>
      <c r="G17" s="851"/>
      <c r="H17" s="852"/>
      <c r="I17" s="853"/>
      <c r="J17" s="853"/>
      <c r="K17" s="853"/>
      <c r="L17" s="376"/>
      <c r="M17" s="377"/>
      <c r="N17" s="378"/>
      <c r="O17" s="191" t="str">
        <f t="shared" si="0"/>
        <v/>
      </c>
      <c r="P17" s="192" t="str">
        <f t="shared" si="8"/>
        <v/>
      </c>
      <c r="Q17" s="192" t="str">
        <f t="shared" si="9"/>
        <v/>
      </c>
      <c r="R17" s="379"/>
      <c r="S17" s="379"/>
      <c r="T17" s="379"/>
      <c r="U17" s="193" t="str">
        <f t="shared" si="1"/>
        <v/>
      </c>
      <c r="V17" s="385"/>
      <c r="W17" s="381"/>
      <c r="X17" s="382"/>
      <c r="Y17" s="198" t="str">
        <f t="shared" si="2"/>
        <v/>
      </c>
      <c r="Z17" s="199" t="str">
        <f t="shared" si="10"/>
        <v/>
      </c>
      <c r="AA17" s="200" t="str">
        <f t="shared" si="3"/>
        <v/>
      </c>
      <c r="AB17" s="386"/>
      <c r="AD17" s="196" t="str">
        <f t="shared" si="4"/>
        <v/>
      </c>
      <c r="AE17" s="384">
        <f t="shared" si="11"/>
        <v>0</v>
      </c>
      <c r="AG17" s="197" t="str">
        <f t="shared" si="5"/>
        <v/>
      </c>
      <c r="AH17" s="197" t="str">
        <f t="shared" si="6"/>
        <v/>
      </c>
      <c r="AI17" s="197" t="str">
        <f t="shared" si="7"/>
        <v/>
      </c>
    </row>
    <row r="18" spans="2:35" ht="13.5" customHeight="1" x14ac:dyDescent="0.15">
      <c r="B18" s="190"/>
      <c r="C18" s="862" t="str">
        <f>誤差比較!S18</f>
        <v>動力盤-2</v>
      </c>
      <c r="D18" s="863"/>
      <c r="E18" s="863"/>
      <c r="F18" s="864"/>
      <c r="G18" s="865"/>
      <c r="H18" s="866" t="s">
        <v>172</v>
      </c>
      <c r="I18" s="867"/>
      <c r="J18" s="867"/>
      <c r="K18" s="868"/>
      <c r="L18" s="376" t="s">
        <v>150</v>
      </c>
      <c r="M18" s="377">
        <f>誤差比較!U18</f>
        <v>3.7</v>
      </c>
      <c r="N18" s="378">
        <f>誤差比較!X18</f>
        <v>5</v>
      </c>
      <c r="O18" s="191">
        <f t="shared" si="0"/>
        <v>87.039557739557736</v>
      </c>
      <c r="P18" s="192">
        <f t="shared" si="8"/>
        <v>72.491154791154784</v>
      </c>
      <c r="Q18" s="192">
        <f t="shared" si="9"/>
        <v>72.481572481572471</v>
      </c>
      <c r="R18" s="379"/>
      <c r="S18" s="379"/>
      <c r="T18" s="379"/>
      <c r="U18" s="193">
        <f>IF(M18="","",IF(AND(R18="",T18=""),M18*N18*Q18/O18,IF(AND(R18="",T18&lt;&gt;""),M18*N18*T18/O18,IF(AND(R18&lt;&gt;"",T18=""),M18*N18*Q18/R18,IF(AND(R18&lt;&gt;"",T18&lt;&gt;""),M18*N18*T18/R18)))))</f>
        <v>15.405743385339772</v>
      </c>
      <c r="V18" s="385"/>
      <c r="W18" s="381"/>
      <c r="X18" s="382">
        <f>誤差比較!AI18</f>
        <v>1</v>
      </c>
      <c r="Y18" s="198">
        <f t="shared" si="2"/>
        <v>15.405743385339772</v>
      </c>
      <c r="Z18" s="199">
        <f t="shared" si="10"/>
        <v>14.639196354439324</v>
      </c>
      <c r="AA18" s="200">
        <f>IF(Y18="","",SQRT(Y18^2+Z18^2))</f>
        <v>21.251894013446655</v>
      </c>
      <c r="AB18" s="386"/>
      <c r="AD18" s="196" t="str">
        <f t="shared" si="4"/>
        <v/>
      </c>
      <c r="AE18" s="384">
        <f t="shared" si="11"/>
        <v>14.639196354439324</v>
      </c>
      <c r="AG18" s="197">
        <f>IF(Y18="","",Y18/X18)</f>
        <v>15.405743385339772</v>
      </c>
      <c r="AH18" s="197">
        <f t="shared" si="6"/>
        <v>14.639196354439324</v>
      </c>
      <c r="AI18" s="197">
        <f t="shared" si="7"/>
        <v>21.251894013446655</v>
      </c>
    </row>
    <row r="19" spans="2:35" x14ac:dyDescent="0.15">
      <c r="B19" s="201"/>
      <c r="C19" s="848"/>
      <c r="D19" s="849"/>
      <c r="E19" s="849"/>
      <c r="F19" s="850"/>
      <c r="G19" s="851"/>
      <c r="H19" s="852"/>
      <c r="I19" s="853"/>
      <c r="J19" s="853"/>
      <c r="K19" s="853"/>
      <c r="L19" s="376"/>
      <c r="M19" s="377"/>
      <c r="N19" s="378"/>
      <c r="O19" s="191" t="str">
        <f>IF(L19="IM-4P",IF(R19="",IF(#REF!=50,IF(ISNA(VLOOKUP(M19,電動機５０,3,FALSE)),"",VLOOKUP(M19,電動機５０,3,FALSE)),IF(#REF!=60,IF(ISNA(VLOOKUP(M19,電動機６０,3,FALSE)),"",VLOOKUP(M19,電動機６０,3,FALSE)),"")),""),"")</f>
        <v/>
      </c>
      <c r="P19" s="192" t="str">
        <f>IF(L19="IM-4P",IF(S19="",IF(#REF!=50,IF(ISNA(VLOOKUP(M19,電動機５０,4,FALSE)),"",VLOOKUP(M19,電動機５０,4,FALSE)),IF(#REF!=60,IF(ISNA(VLOOKUP(M19,電動機６０,4,FALSE)),"",VLOOKUP(M19,電動機６０,4,FALSE)),"")),""),"")</f>
        <v/>
      </c>
      <c r="Q19" s="192" t="str">
        <f>IF(L19="IM-4P",IF(T19="",IF(#REF!=50,IF(ISNA(VLOOKUP(M19,電動機５０,2,FALSE)),"",VLOOKUP(M19,電動機５０,2,FALSE)),IF(#REF!=60,IF(ISNA(VLOOKUP(M19,電動機６０,2,FALSE)),"",VLOOKUP(M19,電動機６０,2,FALSE)),"")),""),"")</f>
        <v/>
      </c>
      <c r="R19" s="379"/>
      <c r="S19" s="379"/>
      <c r="T19" s="379"/>
      <c r="U19" s="193" t="str">
        <f t="shared" si="1"/>
        <v/>
      </c>
      <c r="V19" s="385"/>
      <c r="W19" s="381"/>
      <c r="X19" s="382"/>
      <c r="Y19" s="198" t="str">
        <f t="shared" si="2"/>
        <v/>
      </c>
      <c r="Z19" s="199" t="str">
        <f t="shared" si="10"/>
        <v/>
      </c>
      <c r="AA19" s="200" t="str">
        <f t="shared" si="3"/>
        <v/>
      </c>
      <c r="AB19" s="386"/>
      <c r="AD19" s="196" t="str">
        <f t="shared" si="4"/>
        <v/>
      </c>
      <c r="AE19" s="384">
        <f t="shared" si="11"/>
        <v>0</v>
      </c>
      <c r="AG19" s="197" t="str">
        <f t="shared" ref="AG19:AG53" si="12">IF(Y19="","",Y19/X19)</f>
        <v/>
      </c>
      <c r="AH19" s="197" t="str">
        <f t="shared" si="6"/>
        <v/>
      </c>
      <c r="AI19" s="197" t="str">
        <f t="shared" si="7"/>
        <v/>
      </c>
    </row>
    <row r="20" spans="2:35" x14ac:dyDescent="0.15">
      <c r="B20" s="201"/>
      <c r="C20" s="848"/>
      <c r="D20" s="849"/>
      <c r="E20" s="849"/>
      <c r="F20" s="854" t="s">
        <v>152</v>
      </c>
      <c r="G20" s="855"/>
      <c r="H20" s="856" t="str">
        <f>" 設備容量 "&amp;INT(1000*SUM(AI18:AI19))/1000&amp;" [KVA]"</f>
        <v xml:space="preserve"> 設備容量 21.251 [KVA]</v>
      </c>
      <c r="I20" s="857"/>
      <c r="J20" s="857"/>
      <c r="K20" s="857"/>
      <c r="L20" s="376"/>
      <c r="M20" s="377"/>
      <c r="N20" s="378"/>
      <c r="O20" s="191" t="str">
        <f>IF(L20="IM-4P",IF(R20="",IF(#REF!=50,IF(ISNA(VLOOKUP(M20,電動機５０,3,FALSE)),"",VLOOKUP(M20,電動機５０,3,FALSE)),IF(#REF!=60,IF(ISNA(VLOOKUP(M20,電動機６０,3,FALSE)),"",VLOOKUP(M20,電動機６０,3,FALSE)),"")),""),"")</f>
        <v/>
      </c>
      <c r="P20" s="192" t="str">
        <f>IF(L20="IM-4P",IF(S20="",IF(#REF!=50,IF(ISNA(VLOOKUP(M20,電動機５０,4,FALSE)),"",VLOOKUP(M20,電動機５０,4,FALSE)),IF(#REF!=60,IF(ISNA(VLOOKUP(M20,電動機６０,4,FALSE)),"",VLOOKUP(M20,電動機６０,4,FALSE)),"")),""),"")</f>
        <v/>
      </c>
      <c r="Q20" s="192" t="str">
        <f>IF(L20="IM-4P",IF(T20="",IF(#REF!=50,IF(ISNA(VLOOKUP(M20,電動機５０,2,FALSE)),"",VLOOKUP(M20,電動機５０,2,FALSE)),IF(#REF!=60,IF(ISNA(VLOOKUP(M20,電動機６０,2,FALSE)),"",VLOOKUP(M20,電動機６０,2,FALSE)),"")),""),"")</f>
        <v/>
      </c>
      <c r="R20" s="379"/>
      <c r="S20" s="379"/>
      <c r="T20" s="379"/>
      <c r="U20" s="193" t="str">
        <f t="shared" si="1"/>
        <v/>
      </c>
      <c r="V20" s="385"/>
      <c r="W20" s="381"/>
      <c r="X20" s="382"/>
      <c r="Y20" s="198" t="str">
        <f t="shared" si="2"/>
        <v/>
      </c>
      <c r="Z20" s="199" t="str">
        <f t="shared" si="10"/>
        <v/>
      </c>
      <c r="AA20" s="200" t="str">
        <f t="shared" si="3"/>
        <v/>
      </c>
      <c r="AB20" s="386"/>
      <c r="AD20" s="196" t="str">
        <f t="shared" si="4"/>
        <v/>
      </c>
      <c r="AE20" s="384">
        <f t="shared" si="11"/>
        <v>0</v>
      </c>
      <c r="AG20" s="197" t="str">
        <f t="shared" si="12"/>
        <v/>
      </c>
      <c r="AH20" s="197" t="str">
        <f t="shared" si="6"/>
        <v/>
      </c>
      <c r="AI20" s="197" t="str">
        <f t="shared" si="7"/>
        <v/>
      </c>
    </row>
    <row r="21" spans="2:35" x14ac:dyDescent="0.15">
      <c r="B21" s="201"/>
      <c r="C21" s="862"/>
      <c r="D21" s="863"/>
      <c r="E21" s="863"/>
      <c r="F21" s="854"/>
      <c r="G21" s="855"/>
      <c r="H21" s="856" t="str">
        <f>" 需要KW   "&amp;INT(1000*SUM(Y18:Y19))/1000&amp;"  [KW]"</f>
        <v xml:space="preserve"> 需要KW   15.405  [KW]</v>
      </c>
      <c r="I21" s="881"/>
      <c r="J21" s="881"/>
      <c r="K21" s="882"/>
      <c r="L21" s="376"/>
      <c r="M21" s="377"/>
      <c r="N21" s="378"/>
      <c r="O21" s="191" t="str">
        <f>IF(L21="IM-4P",IF(R21="",IF(#REF!=50,IF(ISNA(VLOOKUP(M21,電動機５０,3,FALSE)),"",VLOOKUP(M21,電動機５０,3,FALSE)),IF(#REF!=60,IF(ISNA(VLOOKUP(M21,電動機６０,3,FALSE)),"",VLOOKUP(M21,電動機６０,3,FALSE)),"")),""),"")</f>
        <v/>
      </c>
      <c r="P21" s="192" t="str">
        <f>IF(L21="IM-4P",IF(S21="",IF(#REF!=50,IF(ISNA(VLOOKUP(M21,電動機５０,4,FALSE)),"",VLOOKUP(M21,電動機５０,4,FALSE)),IF(#REF!=60,IF(ISNA(VLOOKUP(M21,電動機６０,4,FALSE)),"",VLOOKUP(M21,電動機６０,4,FALSE)),"")),""),"")</f>
        <v/>
      </c>
      <c r="Q21" s="192" t="str">
        <f>IF(L21="IM-4P",IF(T21="",IF(#REF!=50,IF(ISNA(VLOOKUP(M21,電動機５０,2,FALSE)),"",VLOOKUP(M21,電動機５０,2,FALSE)),IF(#REF!=60,IF(ISNA(VLOOKUP(M21,電動機６０,2,FALSE)),"",VLOOKUP(M21,電動機６０,2,FALSE)),"")),""),"")</f>
        <v/>
      </c>
      <c r="R21" s="379"/>
      <c r="S21" s="379"/>
      <c r="T21" s="379"/>
      <c r="U21" s="193" t="str">
        <f t="shared" si="1"/>
        <v/>
      </c>
      <c r="V21" s="385"/>
      <c r="W21" s="381"/>
      <c r="X21" s="382"/>
      <c r="Y21" s="198" t="str">
        <f t="shared" si="2"/>
        <v/>
      </c>
      <c r="Z21" s="199" t="str">
        <f t="shared" si="10"/>
        <v/>
      </c>
      <c r="AA21" s="200" t="str">
        <f t="shared" si="3"/>
        <v/>
      </c>
      <c r="AB21" s="386"/>
      <c r="AD21" s="196" t="str">
        <f t="shared" si="4"/>
        <v/>
      </c>
      <c r="AE21" s="384">
        <f t="shared" si="11"/>
        <v>0</v>
      </c>
      <c r="AG21" s="197" t="str">
        <f t="shared" si="12"/>
        <v/>
      </c>
      <c r="AH21" s="197" t="str">
        <f t="shared" si="6"/>
        <v/>
      </c>
      <c r="AI21" s="197" t="str">
        <f t="shared" si="7"/>
        <v/>
      </c>
    </row>
    <row r="22" spans="2:35" x14ac:dyDescent="0.15">
      <c r="B22" s="190"/>
      <c r="C22" s="862"/>
      <c r="D22" s="863"/>
      <c r="E22" s="863"/>
      <c r="F22" s="854"/>
      <c r="G22" s="855"/>
      <c r="H22" s="856" t="str">
        <f>" 需要KVA  "&amp;INT(1000*SQRT(Y18^2+Z18^2))/1000&amp;" [KVA]"</f>
        <v xml:space="preserve"> 需要KVA  21.251 [KVA]</v>
      </c>
      <c r="I22" s="857"/>
      <c r="J22" s="857"/>
      <c r="K22" s="857"/>
      <c r="L22" s="376"/>
      <c r="M22" s="377"/>
      <c r="N22" s="378"/>
      <c r="O22" s="191" t="str">
        <f>IF(L22="IM-4P",IF(R22="",IF(#REF!=50,IF(ISNA(VLOOKUP(M22,電動機５０,3,FALSE)),"",VLOOKUP(M22,電動機５０,3,FALSE)),IF(#REF!=60,IF(ISNA(VLOOKUP(M22,電動機６０,3,FALSE)),"",VLOOKUP(M22,電動機６０,3,FALSE)),"")),""),"")</f>
        <v/>
      </c>
      <c r="P22" s="192" t="str">
        <f>IF(L22="IM-4P",IF(S22="",IF(#REF!=50,IF(ISNA(VLOOKUP(M22,電動機５０,4,FALSE)),"",VLOOKUP(M22,電動機５０,4,FALSE)),IF(#REF!=60,IF(ISNA(VLOOKUP(M22,電動機６０,4,FALSE)),"",VLOOKUP(M22,電動機６０,4,FALSE)),"")),""),"")</f>
        <v/>
      </c>
      <c r="Q22" s="192" t="str">
        <f>IF(L22="IM-4P",IF(T22="",IF(#REF!=50,IF(ISNA(VLOOKUP(M22,電動機５０,2,FALSE)),"",VLOOKUP(M22,電動機５０,2,FALSE)),IF(#REF!=60,IF(ISNA(VLOOKUP(M22,電動機６０,2,FALSE)),"",VLOOKUP(M22,電動機６０,2,FALSE)),"")),""),"")</f>
        <v/>
      </c>
      <c r="R22" s="379"/>
      <c r="S22" s="379"/>
      <c r="T22" s="379"/>
      <c r="U22" s="193" t="str">
        <f t="shared" si="1"/>
        <v/>
      </c>
      <c r="V22" s="385"/>
      <c r="W22" s="381"/>
      <c r="X22" s="382"/>
      <c r="Y22" s="198" t="str">
        <f t="shared" si="2"/>
        <v/>
      </c>
      <c r="Z22" s="199" t="str">
        <f t="shared" si="10"/>
        <v/>
      </c>
      <c r="AA22" s="200" t="str">
        <f t="shared" si="3"/>
        <v/>
      </c>
      <c r="AB22" s="386"/>
      <c r="AD22" s="196" t="str">
        <f t="shared" si="4"/>
        <v/>
      </c>
      <c r="AE22" s="384">
        <f t="shared" si="11"/>
        <v>0</v>
      </c>
      <c r="AG22" s="197" t="str">
        <f t="shared" si="12"/>
        <v/>
      </c>
      <c r="AH22" s="197" t="str">
        <f t="shared" si="6"/>
        <v/>
      </c>
      <c r="AI22" s="197" t="str">
        <f t="shared" si="7"/>
        <v/>
      </c>
    </row>
    <row r="23" spans="2:35" x14ac:dyDescent="0.15">
      <c r="B23" s="190"/>
      <c r="C23" s="862"/>
      <c r="D23" s="863"/>
      <c r="E23" s="863"/>
      <c r="F23" s="854"/>
      <c r="G23" s="855"/>
      <c r="H23" s="856" t="str">
        <f>" 需要Kvar "&amp;INT(1000*SUM(Z18:Z19))/1000&amp;" [KVar]"</f>
        <v xml:space="preserve"> 需要Kvar 14.639 [KVar]</v>
      </c>
      <c r="I23" s="857"/>
      <c r="J23" s="857"/>
      <c r="K23" s="857"/>
      <c r="L23" s="376"/>
      <c r="M23" s="377"/>
      <c r="N23" s="378"/>
      <c r="O23" s="191" t="str">
        <f>IF(L23="IM-4P",IF(R23="",IF(#REF!=50,IF(ISNA(VLOOKUP(M23,電動機５０,3,FALSE)),"",VLOOKUP(M23,電動機５０,3,FALSE)),IF(#REF!=60,IF(ISNA(VLOOKUP(M23,電動機６０,3,FALSE)),"",VLOOKUP(M23,電動機６０,3,FALSE)),"")),""),"")</f>
        <v/>
      </c>
      <c r="P23" s="192" t="str">
        <f>IF(L23="IM-4P",IF(S23="",IF(#REF!=50,IF(ISNA(VLOOKUP(M23,電動機５０,4,FALSE)),"",VLOOKUP(M23,電動機５０,4,FALSE)),IF(#REF!=60,IF(ISNA(VLOOKUP(M23,電動機６０,4,FALSE)),"",VLOOKUP(M23,電動機６０,4,FALSE)),"")),""),"")</f>
        <v/>
      </c>
      <c r="Q23" s="192" t="str">
        <f>IF(L23="IM-4P",IF(T23="",IF(#REF!=50,IF(ISNA(VLOOKUP(M23,電動機５０,2,FALSE)),"",VLOOKUP(M23,電動機５０,2,FALSE)),IF(#REF!=60,IF(ISNA(VLOOKUP(M23,電動機６０,2,FALSE)),"",VLOOKUP(M23,電動機６０,2,FALSE)),"")),""),"")</f>
        <v/>
      </c>
      <c r="R23" s="379"/>
      <c r="S23" s="379"/>
      <c r="T23" s="379"/>
      <c r="U23" s="193" t="str">
        <f t="shared" si="1"/>
        <v/>
      </c>
      <c r="V23" s="385"/>
      <c r="W23" s="381"/>
      <c r="X23" s="382"/>
      <c r="Y23" s="198" t="str">
        <f t="shared" si="2"/>
        <v/>
      </c>
      <c r="Z23" s="199" t="str">
        <f t="shared" si="10"/>
        <v/>
      </c>
      <c r="AA23" s="200" t="str">
        <f t="shared" si="3"/>
        <v/>
      </c>
      <c r="AB23" s="386"/>
      <c r="AD23" s="196" t="str">
        <f t="shared" si="4"/>
        <v/>
      </c>
      <c r="AE23" s="384">
        <f t="shared" si="11"/>
        <v>0</v>
      </c>
      <c r="AG23" s="197" t="str">
        <f t="shared" si="12"/>
        <v/>
      </c>
      <c r="AH23" s="197" t="str">
        <f t="shared" si="6"/>
        <v/>
      </c>
      <c r="AI23" s="197" t="str">
        <f t="shared" si="7"/>
        <v/>
      </c>
    </row>
    <row r="24" spans="2:35" x14ac:dyDescent="0.15">
      <c r="B24" s="190"/>
      <c r="C24" s="862"/>
      <c r="D24" s="863"/>
      <c r="E24" s="863"/>
      <c r="F24" s="864"/>
      <c r="G24" s="865"/>
      <c r="H24" s="852"/>
      <c r="I24" s="853"/>
      <c r="J24" s="853"/>
      <c r="K24" s="853"/>
      <c r="L24" s="376"/>
      <c r="M24" s="377"/>
      <c r="N24" s="378"/>
      <c r="O24" s="191" t="str">
        <f>IF(L24="IM-4P",IF(R24="",IF(#REF!=50,IF(ISNA(VLOOKUP(M24,電動機５０,3,FALSE)),"",VLOOKUP(M24,電動機５０,3,FALSE)),IF(#REF!=60,IF(ISNA(VLOOKUP(M24,電動機６０,3,FALSE)),"",VLOOKUP(M24,電動機６０,3,FALSE)),"")),""),"")</f>
        <v/>
      </c>
      <c r="P24" s="192" t="str">
        <f>IF(L24="IM-4P",IF(S24="",IF(#REF!=50,IF(ISNA(VLOOKUP(M24,電動機５０,4,FALSE)),"",VLOOKUP(M24,電動機５０,4,FALSE)),IF(#REF!=60,IF(ISNA(VLOOKUP(M24,電動機６０,4,FALSE)),"",VLOOKUP(M24,電動機６０,4,FALSE)),"")),""),"")</f>
        <v/>
      </c>
      <c r="Q24" s="192" t="str">
        <f>IF(L24="IM-4P",IF(T24="",IF(#REF!=50,IF(ISNA(VLOOKUP(M24,電動機５０,2,FALSE)),"",VLOOKUP(M24,電動機５０,2,FALSE)),IF(#REF!=60,IF(ISNA(VLOOKUP(M24,電動機６０,2,FALSE)),"",VLOOKUP(M24,電動機６０,2,FALSE)),"")),""),"")</f>
        <v/>
      </c>
      <c r="R24" s="379"/>
      <c r="S24" s="379"/>
      <c r="T24" s="379"/>
      <c r="U24" s="193" t="str">
        <f t="shared" si="1"/>
        <v/>
      </c>
      <c r="V24" s="385"/>
      <c r="W24" s="381"/>
      <c r="X24" s="382"/>
      <c r="Y24" s="198" t="str">
        <f t="shared" si="2"/>
        <v/>
      </c>
      <c r="Z24" s="199" t="str">
        <f t="shared" si="10"/>
        <v/>
      </c>
      <c r="AA24" s="200" t="str">
        <f t="shared" si="3"/>
        <v/>
      </c>
      <c r="AB24" s="386"/>
      <c r="AD24" s="196" t="str">
        <f t="shared" si="4"/>
        <v/>
      </c>
      <c r="AE24" s="384">
        <f t="shared" si="11"/>
        <v>0</v>
      </c>
      <c r="AG24" s="197" t="str">
        <f t="shared" si="12"/>
        <v/>
      </c>
      <c r="AH24" s="197" t="str">
        <f t="shared" si="6"/>
        <v/>
      </c>
      <c r="AI24" s="197" t="str">
        <f t="shared" si="7"/>
        <v/>
      </c>
    </row>
    <row r="25" spans="2:35" x14ac:dyDescent="0.15">
      <c r="B25" s="190"/>
      <c r="C25" s="883"/>
      <c r="D25" s="884"/>
      <c r="E25" s="884"/>
      <c r="F25" s="864"/>
      <c r="G25" s="865"/>
      <c r="H25" s="885"/>
      <c r="I25" s="886"/>
      <c r="J25" s="886"/>
      <c r="K25" s="886"/>
      <c r="L25" s="376"/>
      <c r="M25" s="377"/>
      <c r="N25" s="378"/>
      <c r="O25" s="191" t="str">
        <f>IF(L25="IM-4P",IF(R25="",IF(#REF!=50,IF(ISNA(VLOOKUP(M25,電動機５０,3,FALSE)),"",VLOOKUP(M25,電動機５０,3,FALSE)),IF(#REF!=60,IF(ISNA(VLOOKUP(M25,電動機６０,3,FALSE)),"",VLOOKUP(M25,電動機６０,3,FALSE)),"")),""),"")</f>
        <v/>
      </c>
      <c r="P25" s="192" t="str">
        <f>IF(L25="IM-4P",IF(S25="",IF(#REF!=50,IF(ISNA(VLOOKUP(M25,電動機５０,4,FALSE)),"",VLOOKUP(M25,電動機５０,4,FALSE)),IF(#REF!=60,IF(ISNA(VLOOKUP(M25,電動機６０,4,FALSE)),"",VLOOKUP(M25,電動機６０,4,FALSE)),"")),""),"")</f>
        <v/>
      </c>
      <c r="Q25" s="192" t="str">
        <f>IF(L25="IM-4P",IF(T25="",IF(#REF!=50,IF(ISNA(VLOOKUP(M25,電動機５０,2,FALSE)),"",VLOOKUP(M25,電動機５０,2,FALSE)),IF(#REF!=60,IF(ISNA(VLOOKUP(M25,電動機６０,2,FALSE)),"",VLOOKUP(M25,電動機６０,2,FALSE)),"")),""),"")</f>
        <v/>
      </c>
      <c r="R25" s="379"/>
      <c r="S25" s="379"/>
      <c r="T25" s="379"/>
      <c r="U25" s="193" t="str">
        <f t="shared" si="1"/>
        <v/>
      </c>
      <c r="V25" s="385"/>
      <c r="W25" s="381"/>
      <c r="X25" s="382"/>
      <c r="Y25" s="198" t="str">
        <f t="shared" si="2"/>
        <v/>
      </c>
      <c r="Z25" s="199" t="str">
        <f t="shared" si="10"/>
        <v/>
      </c>
      <c r="AA25" s="200" t="str">
        <f t="shared" si="3"/>
        <v/>
      </c>
      <c r="AB25" s="386"/>
      <c r="AD25" s="196" t="str">
        <f t="shared" si="4"/>
        <v/>
      </c>
      <c r="AE25" s="384">
        <f t="shared" si="11"/>
        <v>0</v>
      </c>
      <c r="AG25" s="197" t="str">
        <f t="shared" si="12"/>
        <v/>
      </c>
      <c r="AH25" s="197" t="str">
        <f t="shared" si="6"/>
        <v/>
      </c>
      <c r="AI25" s="197" t="str">
        <f t="shared" si="7"/>
        <v/>
      </c>
    </row>
    <row r="26" spans="2:35" x14ac:dyDescent="0.15">
      <c r="B26" s="201"/>
      <c r="C26" s="887"/>
      <c r="D26" s="888"/>
      <c r="E26" s="888"/>
      <c r="F26" s="864"/>
      <c r="G26" s="865"/>
      <c r="H26" s="885"/>
      <c r="I26" s="886"/>
      <c r="J26" s="886"/>
      <c r="K26" s="886"/>
      <c r="L26" s="376"/>
      <c r="M26" s="377"/>
      <c r="N26" s="378"/>
      <c r="O26" s="191" t="str">
        <f>IF(L26="IM-4P",IF(R26="",IF(#REF!=50,IF(ISNA(VLOOKUP(M26,電動機５０,3,FALSE)),"",VLOOKUP(M26,電動機５０,3,FALSE)),IF(#REF!=60,IF(ISNA(VLOOKUP(M26,電動機６０,3,FALSE)),"",VLOOKUP(M26,電動機６０,3,FALSE)),"")),""),"")</f>
        <v/>
      </c>
      <c r="P26" s="192" t="str">
        <f>IF(L26="IM-4P",IF(S26="",IF(#REF!=50,IF(ISNA(VLOOKUP(M26,電動機５０,4,FALSE)),"",VLOOKUP(M26,電動機５０,4,FALSE)),IF(#REF!=60,IF(ISNA(VLOOKUP(M26,電動機６０,4,FALSE)),"",VLOOKUP(M26,電動機６０,4,FALSE)),"")),""),"")</f>
        <v/>
      </c>
      <c r="Q26" s="192" t="str">
        <f>IF(L26="IM-4P",IF(T26="",IF(#REF!=50,IF(ISNA(VLOOKUP(M26,電動機５０,2,FALSE)),"",VLOOKUP(M26,電動機５０,2,FALSE)),IF(#REF!=60,IF(ISNA(VLOOKUP(M26,電動機６０,2,FALSE)),"",VLOOKUP(M26,電動機６０,2,FALSE)),"")),""),"")</f>
        <v/>
      </c>
      <c r="R26" s="379"/>
      <c r="S26" s="379"/>
      <c r="T26" s="379"/>
      <c r="U26" s="193" t="str">
        <f t="shared" si="1"/>
        <v/>
      </c>
      <c r="V26" s="385"/>
      <c r="W26" s="381"/>
      <c r="X26" s="382"/>
      <c r="Y26" s="198" t="str">
        <f t="shared" si="2"/>
        <v/>
      </c>
      <c r="Z26" s="199" t="str">
        <f t="shared" si="10"/>
        <v/>
      </c>
      <c r="AA26" s="200" t="str">
        <f t="shared" si="3"/>
        <v/>
      </c>
      <c r="AB26" s="386"/>
      <c r="AD26" s="196" t="str">
        <f t="shared" si="4"/>
        <v/>
      </c>
      <c r="AE26" s="384">
        <f t="shared" si="11"/>
        <v>0</v>
      </c>
      <c r="AG26" s="197" t="str">
        <f>IF(Y26="","",Y26/X26)</f>
        <v/>
      </c>
      <c r="AH26" s="197" t="str">
        <f t="shared" si="6"/>
        <v/>
      </c>
      <c r="AI26" s="197" t="str">
        <f t="shared" si="7"/>
        <v/>
      </c>
    </row>
    <row r="27" spans="2:35" x14ac:dyDescent="0.15">
      <c r="B27" s="201"/>
      <c r="C27" s="887"/>
      <c r="D27" s="888"/>
      <c r="E27" s="888"/>
      <c r="F27" s="864"/>
      <c r="G27" s="865"/>
      <c r="H27" s="852"/>
      <c r="I27" s="853"/>
      <c r="J27" s="853"/>
      <c r="K27" s="853"/>
      <c r="L27" s="376"/>
      <c r="M27" s="377"/>
      <c r="N27" s="378"/>
      <c r="O27" s="191" t="str">
        <f>IF(L27="IM-4P",IF(R27="",IF(#REF!=50,IF(ISNA(VLOOKUP(M27,電動機５０,3,FALSE)),"",VLOOKUP(M27,電動機５０,3,FALSE)),IF(#REF!=60,IF(ISNA(VLOOKUP(M27,電動機６０,3,FALSE)),"",VLOOKUP(M27,電動機６０,3,FALSE)),"")),""),"")</f>
        <v/>
      </c>
      <c r="P27" s="192" t="str">
        <f>IF(L27="IM-4P",IF(S27="",IF(#REF!=50,IF(ISNA(VLOOKUP(M27,電動機５０,4,FALSE)),"",VLOOKUP(M27,電動機５０,4,FALSE)),IF(#REF!=60,IF(ISNA(VLOOKUP(M27,電動機６０,4,FALSE)),"",VLOOKUP(M27,電動機６０,4,FALSE)),"")),""),"")</f>
        <v/>
      </c>
      <c r="Q27" s="192" t="str">
        <f>IF(L27="IM-4P",IF(T27="",IF(#REF!=50,IF(ISNA(VLOOKUP(M27,電動機５０,2,FALSE)),"",VLOOKUP(M27,電動機５０,2,FALSE)),IF(#REF!=60,IF(ISNA(VLOOKUP(M27,電動機６０,2,FALSE)),"",VLOOKUP(M27,電動機６０,2,FALSE)),"")),""),"")</f>
        <v/>
      </c>
      <c r="R27" s="379"/>
      <c r="S27" s="379"/>
      <c r="T27" s="379"/>
      <c r="U27" s="193" t="str">
        <f t="shared" si="1"/>
        <v/>
      </c>
      <c r="V27" s="385"/>
      <c r="W27" s="381"/>
      <c r="X27" s="382"/>
      <c r="Y27" s="198" t="str">
        <f t="shared" si="2"/>
        <v/>
      </c>
      <c r="Z27" s="199" t="str">
        <f t="shared" si="10"/>
        <v/>
      </c>
      <c r="AA27" s="200" t="str">
        <f t="shared" si="3"/>
        <v/>
      </c>
      <c r="AB27" s="386"/>
      <c r="AD27" s="196" t="str">
        <f t="shared" si="4"/>
        <v/>
      </c>
      <c r="AE27" s="384">
        <f t="shared" si="11"/>
        <v>0</v>
      </c>
      <c r="AG27" s="197" t="str">
        <f t="shared" si="12"/>
        <v/>
      </c>
      <c r="AH27" s="197" t="str">
        <f t="shared" si="6"/>
        <v/>
      </c>
      <c r="AI27" s="197" t="str">
        <f t="shared" si="7"/>
        <v/>
      </c>
    </row>
    <row r="28" spans="2:35" x14ac:dyDescent="0.15">
      <c r="B28" s="201"/>
      <c r="C28" s="883"/>
      <c r="D28" s="884"/>
      <c r="E28" s="884"/>
      <c r="F28" s="864"/>
      <c r="G28" s="865"/>
      <c r="H28" s="885"/>
      <c r="I28" s="886"/>
      <c r="J28" s="886"/>
      <c r="K28" s="886"/>
      <c r="L28" s="376"/>
      <c r="M28" s="377"/>
      <c r="N28" s="378"/>
      <c r="O28" s="191" t="str">
        <f>IF(L28="IM-4P",IF(R28="",IF(#REF!=50,IF(ISNA(VLOOKUP(M28,電動機５０,3,FALSE)),"",VLOOKUP(M28,電動機５０,3,FALSE)),IF(#REF!=60,IF(ISNA(VLOOKUP(M28,電動機６０,3,FALSE)),"",VLOOKUP(M28,電動機６０,3,FALSE)),"")),""),"")</f>
        <v/>
      </c>
      <c r="P28" s="192" t="str">
        <f>IF(L28="IM-4P",IF(S28="",IF(#REF!=50,IF(ISNA(VLOOKUP(M28,電動機５０,4,FALSE)),"",VLOOKUP(M28,電動機５０,4,FALSE)),IF(#REF!=60,IF(ISNA(VLOOKUP(M28,電動機６０,4,FALSE)),"",VLOOKUP(M28,電動機６０,4,FALSE)),"")),""),"")</f>
        <v/>
      </c>
      <c r="Q28" s="192" t="str">
        <f>IF(L28="IM-4P",IF(T28="",IF(#REF!=50,IF(ISNA(VLOOKUP(M28,電動機５０,2,FALSE)),"",VLOOKUP(M28,電動機５０,2,FALSE)),IF(#REF!=60,IF(ISNA(VLOOKUP(M28,電動機６０,2,FALSE)),"",VLOOKUP(M28,電動機６０,2,FALSE)),"")),""),"")</f>
        <v/>
      </c>
      <c r="R28" s="379"/>
      <c r="S28" s="379"/>
      <c r="T28" s="379"/>
      <c r="U28" s="193" t="str">
        <f t="shared" si="1"/>
        <v/>
      </c>
      <c r="V28" s="385"/>
      <c r="W28" s="381"/>
      <c r="X28" s="382"/>
      <c r="Y28" s="198" t="str">
        <f t="shared" si="2"/>
        <v/>
      </c>
      <c r="Z28" s="199" t="str">
        <f t="shared" si="10"/>
        <v/>
      </c>
      <c r="AA28" s="200" t="str">
        <f t="shared" si="3"/>
        <v/>
      </c>
      <c r="AB28" s="386"/>
      <c r="AD28" s="196" t="str">
        <f t="shared" si="4"/>
        <v/>
      </c>
      <c r="AE28" s="384">
        <f t="shared" si="11"/>
        <v>0</v>
      </c>
      <c r="AG28" s="197" t="str">
        <f t="shared" si="12"/>
        <v/>
      </c>
      <c r="AH28" s="197" t="str">
        <f t="shared" si="6"/>
        <v/>
      </c>
      <c r="AI28" s="197" t="str">
        <f t="shared" si="7"/>
        <v/>
      </c>
    </row>
    <row r="29" spans="2:35" x14ac:dyDescent="0.15">
      <c r="B29" s="190"/>
      <c r="C29" s="883"/>
      <c r="D29" s="884"/>
      <c r="E29" s="884"/>
      <c r="F29" s="864"/>
      <c r="G29" s="865"/>
      <c r="H29" s="885"/>
      <c r="I29" s="886"/>
      <c r="J29" s="886"/>
      <c r="K29" s="886"/>
      <c r="L29" s="376"/>
      <c r="M29" s="377"/>
      <c r="N29" s="378"/>
      <c r="O29" s="191" t="str">
        <f>IF(L29="IM-4P",IF(R29="",IF(#REF!=50,IF(ISNA(VLOOKUP(M29,電動機５０,3,FALSE)),"",VLOOKUP(M29,電動機５０,3,FALSE)),IF(#REF!=60,IF(ISNA(VLOOKUP(M29,電動機６０,3,FALSE)),"",VLOOKUP(M29,電動機６０,3,FALSE)),"")),""),"")</f>
        <v/>
      </c>
      <c r="P29" s="192" t="str">
        <f>IF(L29="IM-4P",IF(S29="",IF(#REF!=50,IF(ISNA(VLOOKUP(M29,電動機５０,4,FALSE)),"",VLOOKUP(M29,電動機５０,4,FALSE)),IF(#REF!=60,IF(ISNA(VLOOKUP(M29,電動機６０,4,FALSE)),"",VLOOKUP(M29,電動機６０,4,FALSE)),"")),""),"")</f>
        <v/>
      </c>
      <c r="Q29" s="192" t="str">
        <f>IF(L29="IM-4P",IF(T29="",IF(#REF!=50,IF(ISNA(VLOOKUP(M29,電動機５０,2,FALSE)),"",VLOOKUP(M29,電動機５０,2,FALSE)),IF(#REF!=60,IF(ISNA(VLOOKUP(M29,電動機６０,2,FALSE)),"",VLOOKUP(M29,電動機６０,2,FALSE)),"")),""),"")</f>
        <v/>
      </c>
      <c r="R29" s="379"/>
      <c r="S29" s="379"/>
      <c r="T29" s="379"/>
      <c r="U29" s="193" t="str">
        <f t="shared" si="1"/>
        <v/>
      </c>
      <c r="V29" s="385"/>
      <c r="W29" s="381"/>
      <c r="X29" s="382"/>
      <c r="Y29" s="198" t="str">
        <f t="shared" si="2"/>
        <v/>
      </c>
      <c r="Z29" s="199" t="str">
        <f t="shared" si="10"/>
        <v/>
      </c>
      <c r="AA29" s="200" t="str">
        <f t="shared" si="3"/>
        <v/>
      </c>
      <c r="AB29" s="386"/>
      <c r="AD29" s="196" t="str">
        <f t="shared" si="4"/>
        <v/>
      </c>
      <c r="AE29" s="384">
        <f t="shared" si="11"/>
        <v>0</v>
      </c>
      <c r="AG29" s="197" t="str">
        <f t="shared" si="12"/>
        <v/>
      </c>
      <c r="AH29" s="197" t="str">
        <f t="shared" si="6"/>
        <v/>
      </c>
      <c r="AI29" s="197" t="str">
        <f t="shared" si="7"/>
        <v/>
      </c>
    </row>
    <row r="30" spans="2:35" x14ac:dyDescent="0.15">
      <c r="B30" s="190"/>
      <c r="C30" s="883"/>
      <c r="D30" s="884"/>
      <c r="E30" s="884"/>
      <c r="F30" s="864"/>
      <c r="G30" s="865"/>
      <c r="H30" s="852"/>
      <c r="I30" s="853"/>
      <c r="J30" s="853"/>
      <c r="K30" s="853"/>
      <c r="L30" s="376"/>
      <c r="M30" s="377"/>
      <c r="N30" s="378"/>
      <c r="O30" s="191" t="str">
        <f>IF(L30="IM-4P",IF(R30="",IF(#REF!=50,IF(ISNA(VLOOKUP(M30,電動機５０,3,FALSE)),"",VLOOKUP(M30,電動機５０,3,FALSE)),IF(#REF!=60,IF(ISNA(VLOOKUP(M30,電動機６０,3,FALSE)),"",VLOOKUP(M30,電動機６０,3,FALSE)),"")),""),"")</f>
        <v/>
      </c>
      <c r="P30" s="192" t="str">
        <f>IF(L30="IM-4P",IF(S30="",IF(#REF!=50,IF(ISNA(VLOOKUP(M30,電動機５０,4,FALSE)),"",VLOOKUP(M30,電動機５０,4,FALSE)),IF(#REF!=60,IF(ISNA(VLOOKUP(M30,電動機６０,4,FALSE)),"",VLOOKUP(M30,電動機６０,4,FALSE)),"")),""),"")</f>
        <v/>
      </c>
      <c r="Q30" s="192" t="str">
        <f>IF(L30="IM-4P",IF(T30="",IF(#REF!=50,IF(ISNA(VLOOKUP(M30,電動機５０,2,FALSE)),"",VLOOKUP(M30,電動機５０,2,FALSE)),IF(#REF!=60,IF(ISNA(VLOOKUP(M30,電動機６０,2,FALSE)),"",VLOOKUP(M30,電動機６０,2,FALSE)),"")),""),"")</f>
        <v/>
      </c>
      <c r="R30" s="379"/>
      <c r="S30" s="379"/>
      <c r="T30" s="379"/>
      <c r="U30" s="193" t="str">
        <f t="shared" si="1"/>
        <v/>
      </c>
      <c r="V30" s="385"/>
      <c r="W30" s="381"/>
      <c r="X30" s="382"/>
      <c r="Y30" s="198" t="str">
        <f t="shared" si="2"/>
        <v/>
      </c>
      <c r="Z30" s="199" t="str">
        <f t="shared" si="10"/>
        <v/>
      </c>
      <c r="AA30" s="200" t="str">
        <f t="shared" si="3"/>
        <v/>
      </c>
      <c r="AB30" s="386"/>
      <c r="AD30" s="196" t="str">
        <f t="shared" si="4"/>
        <v/>
      </c>
      <c r="AE30" s="384">
        <f t="shared" si="11"/>
        <v>0</v>
      </c>
      <c r="AG30" s="197" t="str">
        <f t="shared" si="12"/>
        <v/>
      </c>
      <c r="AH30" s="197" t="str">
        <f t="shared" si="6"/>
        <v/>
      </c>
      <c r="AI30" s="197" t="str">
        <f t="shared" si="7"/>
        <v/>
      </c>
    </row>
    <row r="31" spans="2:35" x14ac:dyDescent="0.15">
      <c r="B31" s="190"/>
      <c r="C31" s="883"/>
      <c r="D31" s="884"/>
      <c r="E31" s="884"/>
      <c r="F31" s="864"/>
      <c r="G31" s="865"/>
      <c r="H31" s="885"/>
      <c r="I31" s="886"/>
      <c r="J31" s="886"/>
      <c r="K31" s="886"/>
      <c r="L31" s="376"/>
      <c r="M31" s="377"/>
      <c r="N31" s="378"/>
      <c r="O31" s="191" t="str">
        <f>IF(L31="IM-4P",IF(R31="",IF(#REF!=50,IF(ISNA(VLOOKUP(M31,電動機５０,3,FALSE)),"",VLOOKUP(M31,電動機５０,3,FALSE)),IF(#REF!=60,IF(ISNA(VLOOKUP(M31,電動機６０,3,FALSE)),"",VLOOKUP(M31,電動機６０,3,FALSE)),"")),""),"")</f>
        <v/>
      </c>
      <c r="P31" s="192" t="str">
        <f>IF(L31="IM-4P",IF(S31="",IF(#REF!=50,IF(ISNA(VLOOKUP(M31,電動機５０,4,FALSE)),"",VLOOKUP(M31,電動機５０,4,FALSE)),IF(#REF!=60,IF(ISNA(VLOOKUP(M31,電動機６０,4,FALSE)),"",VLOOKUP(M31,電動機６０,4,FALSE)),"")),""),"")</f>
        <v/>
      </c>
      <c r="Q31" s="192" t="str">
        <f>IF(L31="IM-4P",IF(T31="",IF(#REF!=50,IF(ISNA(VLOOKUP(M31,電動機５０,2,FALSE)),"",VLOOKUP(M31,電動機５０,2,FALSE)),IF(#REF!=60,IF(ISNA(VLOOKUP(M31,電動機６０,2,FALSE)),"",VLOOKUP(M31,電動機６０,2,FALSE)),"")),""),"")</f>
        <v/>
      </c>
      <c r="R31" s="379"/>
      <c r="S31" s="379"/>
      <c r="T31" s="379"/>
      <c r="U31" s="193" t="str">
        <f t="shared" si="1"/>
        <v/>
      </c>
      <c r="V31" s="385"/>
      <c r="W31" s="381"/>
      <c r="X31" s="382"/>
      <c r="Y31" s="198" t="str">
        <f t="shared" si="2"/>
        <v/>
      </c>
      <c r="Z31" s="199" t="str">
        <f t="shared" si="10"/>
        <v/>
      </c>
      <c r="AA31" s="200" t="str">
        <f t="shared" si="3"/>
        <v/>
      </c>
      <c r="AB31" s="386"/>
      <c r="AD31" s="196" t="str">
        <f t="shared" si="4"/>
        <v/>
      </c>
      <c r="AE31" s="384">
        <f t="shared" si="11"/>
        <v>0</v>
      </c>
      <c r="AG31" s="197" t="str">
        <f t="shared" si="12"/>
        <v/>
      </c>
      <c r="AH31" s="197" t="str">
        <f t="shared" si="6"/>
        <v/>
      </c>
      <c r="AI31" s="197" t="str">
        <f t="shared" si="7"/>
        <v/>
      </c>
    </row>
    <row r="32" spans="2:35" x14ac:dyDescent="0.15">
      <c r="B32" s="190"/>
      <c r="C32" s="883"/>
      <c r="D32" s="884"/>
      <c r="E32" s="884"/>
      <c r="F32" s="889"/>
      <c r="G32" s="890"/>
      <c r="H32" s="885"/>
      <c r="I32" s="886"/>
      <c r="J32" s="886"/>
      <c r="K32" s="886"/>
      <c r="L32" s="376"/>
      <c r="M32" s="377"/>
      <c r="N32" s="378"/>
      <c r="O32" s="191" t="str">
        <f>IF(L32="IM-4P",IF(R32="",IF(#REF!=50,IF(ISNA(VLOOKUP(M32,電動機５０,3,FALSE)),"",VLOOKUP(M32,電動機５０,3,FALSE)),IF(#REF!=60,IF(ISNA(VLOOKUP(M32,電動機６０,3,FALSE)),"",VLOOKUP(M32,電動機６０,3,FALSE)),"")),""),"")</f>
        <v/>
      </c>
      <c r="P32" s="192" t="str">
        <f>IF(L32="IM-4P",IF(S32="",IF(#REF!=50,IF(ISNA(VLOOKUP(M32,電動機５０,4,FALSE)),"",VLOOKUP(M32,電動機５０,4,FALSE)),IF(#REF!=60,IF(ISNA(VLOOKUP(M32,電動機６０,4,FALSE)),"",VLOOKUP(M32,電動機６０,4,FALSE)),"")),""),"")</f>
        <v/>
      </c>
      <c r="Q32" s="192" t="str">
        <f>IF(L32="IM-4P",IF(T32="",IF(#REF!=50,IF(ISNA(VLOOKUP(M32,電動機５０,2,FALSE)),"",VLOOKUP(M32,電動機５０,2,FALSE)),IF(#REF!=60,IF(ISNA(VLOOKUP(M32,電動機６０,2,FALSE)),"",VLOOKUP(M32,電動機６０,2,FALSE)),"")),""),"")</f>
        <v/>
      </c>
      <c r="R32" s="379"/>
      <c r="S32" s="379"/>
      <c r="T32" s="379"/>
      <c r="U32" s="193" t="str">
        <f t="shared" si="1"/>
        <v/>
      </c>
      <c r="V32" s="385"/>
      <c r="W32" s="381"/>
      <c r="X32" s="382"/>
      <c r="Y32" s="198" t="str">
        <f t="shared" si="2"/>
        <v/>
      </c>
      <c r="Z32" s="199" t="str">
        <f t="shared" si="10"/>
        <v/>
      </c>
      <c r="AA32" s="200" t="str">
        <f t="shared" si="3"/>
        <v/>
      </c>
      <c r="AB32" s="386"/>
      <c r="AD32" s="196" t="str">
        <f t="shared" si="4"/>
        <v/>
      </c>
      <c r="AE32" s="384">
        <f t="shared" si="11"/>
        <v>0</v>
      </c>
      <c r="AG32" s="197" t="str">
        <f t="shared" si="12"/>
        <v/>
      </c>
      <c r="AH32" s="197" t="str">
        <f t="shared" si="6"/>
        <v/>
      </c>
      <c r="AI32" s="197" t="str">
        <f t="shared" si="7"/>
        <v/>
      </c>
    </row>
    <row r="33" spans="2:35" ht="12" customHeight="1" x14ac:dyDescent="0.15">
      <c r="B33" s="190"/>
      <c r="C33" s="883"/>
      <c r="D33" s="884"/>
      <c r="E33" s="884"/>
      <c r="F33" s="864"/>
      <c r="G33" s="865"/>
      <c r="H33" s="885"/>
      <c r="I33" s="886"/>
      <c r="J33" s="886"/>
      <c r="K33" s="886"/>
      <c r="L33" s="376"/>
      <c r="M33" s="377"/>
      <c r="N33" s="378"/>
      <c r="O33" s="191" t="str">
        <f>IF(L33="IM-4P",IF(R33="",IF(#REF!=50,IF(ISNA(VLOOKUP(M33,電動機５０,3,FALSE)),"",VLOOKUP(M33,電動機５０,3,FALSE)),IF(#REF!=60,IF(ISNA(VLOOKUP(M33,電動機６０,3,FALSE)),"",VLOOKUP(M33,電動機６０,3,FALSE)),"")),""),"")</f>
        <v/>
      </c>
      <c r="P33" s="192" t="str">
        <f>IF(L33="IM-4P",IF(S33="",IF(#REF!=50,IF(ISNA(VLOOKUP(M33,電動機５０,4,FALSE)),"",VLOOKUP(M33,電動機５０,4,FALSE)),IF(#REF!=60,IF(ISNA(VLOOKUP(M33,電動機６０,4,FALSE)),"",VLOOKUP(M33,電動機６０,4,FALSE)),"")),""),"")</f>
        <v/>
      </c>
      <c r="Q33" s="192" t="str">
        <f>IF(L33="IM-4P",IF(T33="",IF(#REF!=50,IF(ISNA(VLOOKUP(M33,電動機５０,2,FALSE)),"",VLOOKUP(M33,電動機５０,2,FALSE)),IF(#REF!=60,IF(ISNA(VLOOKUP(M33,電動機６０,2,FALSE)),"",VLOOKUP(M33,電動機６０,2,FALSE)),"")),""),"")</f>
        <v/>
      </c>
      <c r="R33" s="379"/>
      <c r="S33" s="379"/>
      <c r="T33" s="379"/>
      <c r="U33" s="193" t="str">
        <f t="shared" si="1"/>
        <v/>
      </c>
      <c r="V33" s="385"/>
      <c r="W33" s="381"/>
      <c r="X33" s="382"/>
      <c r="Y33" s="198" t="str">
        <f t="shared" si="2"/>
        <v/>
      </c>
      <c r="Z33" s="199" t="str">
        <f t="shared" si="10"/>
        <v/>
      </c>
      <c r="AA33" s="200" t="str">
        <f t="shared" si="3"/>
        <v/>
      </c>
      <c r="AB33" s="386"/>
      <c r="AD33" s="196" t="str">
        <f t="shared" si="4"/>
        <v/>
      </c>
      <c r="AE33" s="384">
        <f t="shared" si="11"/>
        <v>0</v>
      </c>
      <c r="AG33" s="197" t="str">
        <f t="shared" si="12"/>
        <v/>
      </c>
      <c r="AH33" s="197" t="str">
        <f t="shared" si="6"/>
        <v/>
      </c>
      <c r="AI33" s="197" t="str">
        <f t="shared" si="7"/>
        <v/>
      </c>
    </row>
    <row r="34" spans="2:35" x14ac:dyDescent="0.15">
      <c r="B34" s="190"/>
      <c r="C34" s="883"/>
      <c r="D34" s="884"/>
      <c r="E34" s="884"/>
      <c r="F34" s="864"/>
      <c r="G34" s="865"/>
      <c r="H34" s="852"/>
      <c r="I34" s="853"/>
      <c r="J34" s="853"/>
      <c r="K34" s="853"/>
      <c r="L34" s="376"/>
      <c r="M34" s="377"/>
      <c r="N34" s="378"/>
      <c r="O34" s="191" t="str">
        <f>IF(L34="IM-4P",IF(R34="",IF(#REF!=50,IF(ISNA(VLOOKUP(M34,電動機５０,3,FALSE)),"",VLOOKUP(M34,電動機５０,3,FALSE)),IF(#REF!=60,IF(ISNA(VLOOKUP(M34,電動機６０,3,FALSE)),"",VLOOKUP(M34,電動機６０,3,FALSE)),"")),""),"")</f>
        <v/>
      </c>
      <c r="P34" s="192" t="str">
        <f>IF(L34="IM-4P",IF(S34="",IF(#REF!=50,IF(ISNA(VLOOKUP(M34,電動機５０,4,FALSE)),"",VLOOKUP(M34,電動機５０,4,FALSE)),IF(#REF!=60,IF(ISNA(VLOOKUP(M34,電動機６０,4,FALSE)),"",VLOOKUP(M34,電動機６０,4,FALSE)),"")),""),"")</f>
        <v/>
      </c>
      <c r="Q34" s="192" t="str">
        <f>IF(L34="IM-4P",IF(T34="",IF(#REF!=50,IF(ISNA(VLOOKUP(M34,電動機５０,2,FALSE)),"",VLOOKUP(M34,電動機５０,2,FALSE)),IF(#REF!=60,IF(ISNA(VLOOKUP(M34,電動機６０,2,FALSE)),"",VLOOKUP(M34,電動機６０,2,FALSE)),"")),""),"")</f>
        <v/>
      </c>
      <c r="R34" s="379"/>
      <c r="S34" s="379"/>
      <c r="T34" s="379"/>
      <c r="U34" s="193" t="str">
        <f t="shared" si="1"/>
        <v/>
      </c>
      <c r="V34" s="385"/>
      <c r="W34" s="381"/>
      <c r="X34" s="382"/>
      <c r="Y34" s="198" t="str">
        <f t="shared" si="2"/>
        <v/>
      </c>
      <c r="Z34" s="199" t="str">
        <f t="shared" si="10"/>
        <v/>
      </c>
      <c r="AA34" s="200" t="str">
        <f t="shared" si="3"/>
        <v/>
      </c>
      <c r="AB34" s="386"/>
      <c r="AD34" s="196" t="str">
        <f t="shared" si="4"/>
        <v/>
      </c>
      <c r="AE34" s="384">
        <f t="shared" si="11"/>
        <v>0</v>
      </c>
      <c r="AG34" s="197" t="str">
        <f t="shared" si="12"/>
        <v/>
      </c>
      <c r="AH34" s="197" t="str">
        <f t="shared" si="6"/>
        <v/>
      </c>
      <c r="AI34" s="197" t="str">
        <f t="shared" si="7"/>
        <v/>
      </c>
    </row>
    <row r="35" spans="2:35" x14ac:dyDescent="0.15">
      <c r="B35" s="190"/>
      <c r="C35" s="883"/>
      <c r="D35" s="884"/>
      <c r="E35" s="884"/>
      <c r="F35" s="864"/>
      <c r="G35" s="865"/>
      <c r="H35" s="885"/>
      <c r="I35" s="886"/>
      <c r="J35" s="886"/>
      <c r="K35" s="886"/>
      <c r="L35" s="376"/>
      <c r="M35" s="377"/>
      <c r="N35" s="378"/>
      <c r="O35" s="191" t="str">
        <f>IF(L35="IM-4P",IF(R35="",IF(#REF!=50,IF(ISNA(VLOOKUP(M35,電動機５０,3,FALSE)),"",VLOOKUP(M35,電動機５０,3,FALSE)),IF(#REF!=60,IF(ISNA(VLOOKUP(M35,電動機６０,3,FALSE)),"",VLOOKUP(M35,電動機６０,3,FALSE)),"")),""),"")</f>
        <v/>
      </c>
      <c r="P35" s="192" t="str">
        <f>IF(L35="IM-4P",IF(S35="",IF(#REF!=50,IF(ISNA(VLOOKUP(M35,電動機５０,4,FALSE)),"",VLOOKUP(M35,電動機５０,4,FALSE)),IF(#REF!=60,IF(ISNA(VLOOKUP(M35,電動機６０,4,FALSE)),"",VLOOKUP(M35,電動機６０,4,FALSE)),"")),""),"")</f>
        <v/>
      </c>
      <c r="Q35" s="192" t="str">
        <f>IF(L35="IM-4P",IF(T35="",IF(#REF!=50,IF(ISNA(VLOOKUP(M35,電動機５０,2,FALSE)),"",VLOOKUP(M35,電動機５０,2,FALSE)),IF(#REF!=60,IF(ISNA(VLOOKUP(M35,電動機６０,2,FALSE)),"",VLOOKUP(M35,電動機６０,2,FALSE)),"")),""),"")</f>
        <v/>
      </c>
      <c r="R35" s="379"/>
      <c r="S35" s="379"/>
      <c r="T35" s="379"/>
      <c r="U35" s="193" t="str">
        <f t="shared" si="1"/>
        <v/>
      </c>
      <c r="V35" s="385"/>
      <c r="W35" s="381"/>
      <c r="X35" s="382"/>
      <c r="Y35" s="198" t="str">
        <f t="shared" si="2"/>
        <v/>
      </c>
      <c r="Z35" s="199" t="str">
        <f t="shared" si="10"/>
        <v/>
      </c>
      <c r="AA35" s="200" t="str">
        <f t="shared" si="3"/>
        <v/>
      </c>
      <c r="AB35" s="386"/>
      <c r="AD35" s="196" t="str">
        <f t="shared" si="4"/>
        <v/>
      </c>
      <c r="AE35" s="384">
        <f t="shared" si="11"/>
        <v>0</v>
      </c>
      <c r="AG35" s="197" t="str">
        <f t="shared" si="12"/>
        <v/>
      </c>
      <c r="AH35" s="197" t="str">
        <f t="shared" si="6"/>
        <v/>
      </c>
      <c r="AI35" s="197" t="str">
        <f t="shared" si="7"/>
        <v/>
      </c>
    </row>
    <row r="36" spans="2:35" x14ac:dyDescent="0.15">
      <c r="B36" s="190"/>
      <c r="C36" s="883"/>
      <c r="D36" s="884"/>
      <c r="E36" s="884"/>
      <c r="F36" s="850"/>
      <c r="G36" s="851"/>
      <c r="H36" s="885"/>
      <c r="I36" s="886"/>
      <c r="J36" s="886"/>
      <c r="K36" s="886"/>
      <c r="L36" s="376"/>
      <c r="M36" s="377"/>
      <c r="N36" s="378"/>
      <c r="O36" s="191" t="str">
        <f>IF(L36="IM-4P",IF(R36="",IF(#REF!=50,IF(ISNA(VLOOKUP(M36,電動機５０,3,FALSE)),"",VLOOKUP(M36,電動機５０,3,FALSE)),IF(#REF!=60,IF(ISNA(VLOOKUP(M36,電動機６０,3,FALSE)),"",VLOOKUP(M36,電動機６０,3,FALSE)),"")),""),"")</f>
        <v/>
      </c>
      <c r="P36" s="192" t="str">
        <f>IF(L36="IM-4P",IF(S36="",IF(#REF!=50,IF(ISNA(VLOOKUP(M36,電動機５０,4,FALSE)),"",VLOOKUP(M36,電動機５０,4,FALSE)),IF(#REF!=60,IF(ISNA(VLOOKUP(M36,電動機６０,4,FALSE)),"",VLOOKUP(M36,電動機６０,4,FALSE)),"")),""),"")</f>
        <v/>
      </c>
      <c r="Q36" s="192" t="str">
        <f>IF(L36="IM-4P",IF(T36="",IF(#REF!=50,IF(ISNA(VLOOKUP(M36,電動機５０,2,FALSE)),"",VLOOKUP(M36,電動機５０,2,FALSE)),IF(#REF!=60,IF(ISNA(VLOOKUP(M36,電動機６０,2,FALSE)),"",VLOOKUP(M36,電動機６０,2,FALSE)),"")),""),"")</f>
        <v/>
      </c>
      <c r="R36" s="379"/>
      <c r="S36" s="379"/>
      <c r="T36" s="379"/>
      <c r="U36" s="193" t="str">
        <f t="shared" si="1"/>
        <v/>
      </c>
      <c r="V36" s="385"/>
      <c r="W36" s="381"/>
      <c r="X36" s="382"/>
      <c r="Y36" s="198" t="str">
        <f t="shared" si="2"/>
        <v/>
      </c>
      <c r="Z36" s="199" t="str">
        <f t="shared" si="10"/>
        <v/>
      </c>
      <c r="AA36" s="200" t="str">
        <f t="shared" si="3"/>
        <v/>
      </c>
      <c r="AB36" s="386"/>
      <c r="AD36" s="196" t="str">
        <f t="shared" si="4"/>
        <v/>
      </c>
      <c r="AE36" s="384">
        <f t="shared" si="11"/>
        <v>0</v>
      </c>
      <c r="AG36" s="197" t="str">
        <f t="shared" si="12"/>
        <v/>
      </c>
      <c r="AH36" s="197" t="str">
        <f t="shared" si="6"/>
        <v/>
      </c>
      <c r="AI36" s="197" t="str">
        <f t="shared" si="7"/>
        <v/>
      </c>
    </row>
    <row r="37" spans="2:35" x14ac:dyDescent="0.15">
      <c r="B37" s="190"/>
      <c r="C37" s="883"/>
      <c r="D37" s="884"/>
      <c r="E37" s="884"/>
      <c r="F37" s="850"/>
      <c r="G37" s="851"/>
      <c r="H37" s="852"/>
      <c r="I37" s="853"/>
      <c r="J37" s="853"/>
      <c r="K37" s="853"/>
      <c r="L37" s="376"/>
      <c r="M37" s="377"/>
      <c r="N37" s="378"/>
      <c r="O37" s="191" t="str">
        <f>IF(L37="IM-4P",IF(R37="",IF(#REF!=50,IF(ISNA(VLOOKUP(M37,電動機５０,3,FALSE)),"",VLOOKUP(M37,電動機５０,3,FALSE)),IF(#REF!=60,IF(ISNA(VLOOKUP(M37,電動機６０,3,FALSE)),"",VLOOKUP(M37,電動機６０,3,FALSE)),"")),""),"")</f>
        <v/>
      </c>
      <c r="P37" s="192" t="str">
        <f>IF(L37="IM-4P",IF(S37="",IF(#REF!=50,IF(ISNA(VLOOKUP(M37,電動機５０,4,FALSE)),"",VLOOKUP(M37,電動機５０,4,FALSE)),IF(#REF!=60,IF(ISNA(VLOOKUP(M37,電動機６０,4,FALSE)),"",VLOOKUP(M37,電動機６０,4,FALSE)),"")),""),"")</f>
        <v/>
      </c>
      <c r="Q37" s="192" t="str">
        <f>IF(L37="IM-4P",IF(T37="",IF(#REF!=50,IF(ISNA(VLOOKUP(M37,電動機５０,2,FALSE)),"",VLOOKUP(M37,電動機５０,2,FALSE)),IF(#REF!=60,IF(ISNA(VLOOKUP(M37,電動機６０,2,FALSE)),"",VLOOKUP(M37,電動機６０,2,FALSE)),"")),""),"")</f>
        <v/>
      </c>
      <c r="R37" s="379"/>
      <c r="S37" s="379"/>
      <c r="T37" s="379"/>
      <c r="U37" s="193" t="str">
        <f t="shared" si="1"/>
        <v/>
      </c>
      <c r="V37" s="385"/>
      <c r="W37" s="381"/>
      <c r="X37" s="382"/>
      <c r="Y37" s="198" t="str">
        <f t="shared" si="2"/>
        <v/>
      </c>
      <c r="Z37" s="199" t="str">
        <f t="shared" si="10"/>
        <v/>
      </c>
      <c r="AA37" s="200" t="str">
        <f t="shared" si="3"/>
        <v/>
      </c>
      <c r="AB37" s="386"/>
      <c r="AD37" s="196" t="str">
        <f t="shared" si="4"/>
        <v/>
      </c>
      <c r="AE37" s="384">
        <f t="shared" si="11"/>
        <v>0</v>
      </c>
      <c r="AG37" s="197" t="str">
        <f t="shared" si="12"/>
        <v/>
      </c>
      <c r="AH37" s="197" t="str">
        <f t="shared" si="6"/>
        <v/>
      </c>
      <c r="AI37" s="197" t="str">
        <f t="shared" si="7"/>
        <v/>
      </c>
    </row>
    <row r="38" spans="2:35" x14ac:dyDescent="0.15">
      <c r="B38" s="190"/>
      <c r="C38" s="883"/>
      <c r="D38" s="884"/>
      <c r="E38" s="884"/>
      <c r="F38" s="854"/>
      <c r="G38" s="855"/>
      <c r="H38" s="856"/>
      <c r="I38" s="857"/>
      <c r="J38" s="857"/>
      <c r="K38" s="857"/>
      <c r="L38" s="376"/>
      <c r="M38" s="377"/>
      <c r="N38" s="378"/>
      <c r="O38" s="191" t="str">
        <f>IF(L38="IM-4P",IF(R38="",IF(#REF!=50,IF(ISNA(VLOOKUP(M38,電動機５０,3,FALSE)),"",VLOOKUP(M38,電動機５０,3,FALSE)),IF(#REF!=60,IF(ISNA(VLOOKUP(M38,電動機６０,3,FALSE)),"",VLOOKUP(M38,電動機６０,3,FALSE)),"")),""),"")</f>
        <v/>
      </c>
      <c r="P38" s="192" t="str">
        <f>IF(L38="IM-4P",IF(S38="",IF(#REF!=50,IF(ISNA(VLOOKUP(M38,電動機５０,4,FALSE)),"",VLOOKUP(M38,電動機５０,4,FALSE)),IF(#REF!=60,IF(ISNA(VLOOKUP(M38,電動機６０,4,FALSE)),"",VLOOKUP(M38,電動機６０,4,FALSE)),"")),""),"")</f>
        <v/>
      </c>
      <c r="Q38" s="192" t="str">
        <f>IF(L38="IM-4P",IF(T38="",IF(#REF!=50,IF(ISNA(VLOOKUP(M38,電動機５０,2,FALSE)),"",VLOOKUP(M38,電動機５０,2,FALSE)),IF(#REF!=60,IF(ISNA(VLOOKUP(M38,電動機６０,2,FALSE)),"",VLOOKUP(M38,電動機６０,2,FALSE)),"")),""),"")</f>
        <v/>
      </c>
      <c r="R38" s="379"/>
      <c r="S38" s="379"/>
      <c r="T38" s="379"/>
      <c r="U38" s="193" t="str">
        <f t="shared" si="1"/>
        <v/>
      </c>
      <c r="V38" s="385"/>
      <c r="W38" s="381"/>
      <c r="X38" s="382"/>
      <c r="Y38" s="198" t="str">
        <f t="shared" si="2"/>
        <v/>
      </c>
      <c r="Z38" s="199" t="str">
        <f t="shared" si="10"/>
        <v/>
      </c>
      <c r="AA38" s="200" t="str">
        <f t="shared" si="3"/>
        <v/>
      </c>
      <c r="AB38" s="386"/>
      <c r="AD38" s="196" t="str">
        <f t="shared" si="4"/>
        <v/>
      </c>
      <c r="AE38" s="384">
        <f t="shared" si="11"/>
        <v>0</v>
      </c>
      <c r="AG38" s="197" t="str">
        <f t="shared" si="12"/>
        <v/>
      </c>
      <c r="AH38" s="197" t="str">
        <f t="shared" si="6"/>
        <v/>
      </c>
      <c r="AI38" s="197" t="str">
        <f t="shared" si="7"/>
        <v/>
      </c>
    </row>
    <row r="39" spans="2:35" x14ac:dyDescent="0.15">
      <c r="B39" s="190"/>
      <c r="C39" s="883"/>
      <c r="D39" s="884"/>
      <c r="E39" s="884"/>
      <c r="F39" s="854"/>
      <c r="G39" s="855"/>
      <c r="H39" s="856"/>
      <c r="I39" s="881"/>
      <c r="J39" s="881"/>
      <c r="K39" s="882"/>
      <c r="L39" s="376"/>
      <c r="M39" s="377"/>
      <c r="N39" s="378"/>
      <c r="O39" s="191" t="str">
        <f>IF(L39="IM-4P",IF(R39="",IF(#REF!=50,IF(ISNA(VLOOKUP(M39,電動機５０,3,FALSE)),"",VLOOKUP(M39,電動機５０,3,FALSE)),IF(#REF!=60,IF(ISNA(VLOOKUP(M39,電動機６０,3,FALSE)),"",VLOOKUP(M39,電動機６０,3,FALSE)),"")),""),"")</f>
        <v/>
      </c>
      <c r="P39" s="192" t="str">
        <f>IF(L39="IM-4P",IF(S39="",IF(#REF!=50,IF(ISNA(VLOOKUP(M39,電動機５０,4,FALSE)),"",VLOOKUP(M39,電動機５０,4,FALSE)),IF(#REF!=60,IF(ISNA(VLOOKUP(M39,電動機６０,4,FALSE)),"",VLOOKUP(M39,電動機６０,4,FALSE)),"")),""),"")</f>
        <v/>
      </c>
      <c r="Q39" s="192" t="str">
        <f>IF(L39="IM-4P",IF(T39="",IF(#REF!=50,IF(ISNA(VLOOKUP(M39,電動機５０,2,FALSE)),"",VLOOKUP(M39,電動機５０,2,FALSE)),IF(#REF!=60,IF(ISNA(VLOOKUP(M39,電動機６０,2,FALSE)),"",VLOOKUP(M39,電動機６０,2,FALSE)),"")),""),"")</f>
        <v/>
      </c>
      <c r="R39" s="379"/>
      <c r="S39" s="379"/>
      <c r="T39" s="379"/>
      <c r="U39" s="193" t="str">
        <f t="shared" si="1"/>
        <v/>
      </c>
      <c r="V39" s="385"/>
      <c r="W39" s="381"/>
      <c r="X39" s="382"/>
      <c r="Y39" s="198" t="str">
        <f t="shared" si="2"/>
        <v/>
      </c>
      <c r="Z39" s="199" t="str">
        <f t="shared" si="10"/>
        <v/>
      </c>
      <c r="AA39" s="200" t="str">
        <f t="shared" si="3"/>
        <v/>
      </c>
      <c r="AB39" s="386"/>
      <c r="AD39" s="196" t="str">
        <f t="shared" si="4"/>
        <v/>
      </c>
      <c r="AE39" s="384">
        <f t="shared" si="11"/>
        <v>0</v>
      </c>
      <c r="AG39" s="197" t="str">
        <f t="shared" si="12"/>
        <v/>
      </c>
      <c r="AH39" s="197" t="str">
        <f t="shared" si="6"/>
        <v/>
      </c>
      <c r="AI39" s="197" t="str">
        <f t="shared" si="7"/>
        <v/>
      </c>
    </row>
    <row r="40" spans="2:35" x14ac:dyDescent="0.15">
      <c r="B40" s="190"/>
      <c r="C40" s="883"/>
      <c r="D40" s="884"/>
      <c r="E40" s="884"/>
      <c r="F40" s="854"/>
      <c r="G40" s="855"/>
      <c r="H40" s="856"/>
      <c r="I40" s="857"/>
      <c r="J40" s="857"/>
      <c r="K40" s="857"/>
      <c r="L40" s="376"/>
      <c r="M40" s="377"/>
      <c r="N40" s="378"/>
      <c r="O40" s="191" t="str">
        <f>IF(L40="IM-4P",IF(R40="",IF(#REF!=50,IF(ISNA(VLOOKUP(M40,電動機５０,3,FALSE)),"",VLOOKUP(M40,電動機５０,3,FALSE)),IF(#REF!=60,IF(ISNA(VLOOKUP(M40,電動機６０,3,FALSE)),"",VLOOKUP(M40,電動機６０,3,FALSE)),"")),""),"")</f>
        <v/>
      </c>
      <c r="P40" s="192" t="str">
        <f>IF(L40="IM-4P",IF(S40="",IF(#REF!=50,IF(ISNA(VLOOKUP(M40,電動機５０,4,FALSE)),"",VLOOKUP(M40,電動機５０,4,FALSE)),IF(#REF!=60,IF(ISNA(VLOOKUP(M40,電動機６０,4,FALSE)),"",VLOOKUP(M40,電動機６０,4,FALSE)),"")),""),"")</f>
        <v/>
      </c>
      <c r="Q40" s="192" t="str">
        <f>IF(L40="IM-4P",IF(T40="",IF(#REF!=50,IF(ISNA(VLOOKUP(M40,電動機５０,2,FALSE)),"",VLOOKUP(M40,電動機５０,2,FALSE)),IF(#REF!=60,IF(ISNA(VLOOKUP(M40,電動機６０,2,FALSE)),"",VLOOKUP(M40,電動機６０,2,FALSE)),"")),""),"")</f>
        <v/>
      </c>
      <c r="R40" s="379"/>
      <c r="S40" s="379"/>
      <c r="T40" s="379"/>
      <c r="U40" s="193" t="str">
        <f t="shared" si="1"/>
        <v/>
      </c>
      <c r="V40" s="385"/>
      <c r="W40" s="381"/>
      <c r="X40" s="382"/>
      <c r="Y40" s="198" t="str">
        <f t="shared" si="2"/>
        <v/>
      </c>
      <c r="Z40" s="199" t="str">
        <f t="shared" si="10"/>
        <v/>
      </c>
      <c r="AA40" s="200" t="str">
        <f t="shared" si="3"/>
        <v/>
      </c>
      <c r="AB40" s="386"/>
      <c r="AD40" s="196" t="str">
        <f t="shared" si="4"/>
        <v/>
      </c>
      <c r="AE40" s="384">
        <f t="shared" si="11"/>
        <v>0</v>
      </c>
      <c r="AG40" s="197" t="str">
        <f t="shared" si="12"/>
        <v/>
      </c>
      <c r="AH40" s="197" t="str">
        <f t="shared" si="6"/>
        <v/>
      </c>
      <c r="AI40" s="197" t="str">
        <f t="shared" si="7"/>
        <v/>
      </c>
    </row>
    <row r="41" spans="2:35" x14ac:dyDescent="0.15">
      <c r="B41" s="190"/>
      <c r="C41" s="883"/>
      <c r="D41" s="884"/>
      <c r="E41" s="884"/>
      <c r="F41" s="854"/>
      <c r="G41" s="855"/>
      <c r="H41" s="856"/>
      <c r="I41" s="857"/>
      <c r="J41" s="857"/>
      <c r="K41" s="857"/>
      <c r="L41" s="376"/>
      <c r="M41" s="377"/>
      <c r="N41" s="378"/>
      <c r="O41" s="191" t="str">
        <f>IF(L41="IM-4P",IF(R41="",IF(#REF!=50,IF(ISNA(VLOOKUP(M41,電動機５０,3,FALSE)),"",VLOOKUP(M41,電動機５０,3,FALSE)),IF(#REF!=60,IF(ISNA(VLOOKUP(M41,電動機６０,3,FALSE)),"",VLOOKUP(M41,電動機６０,3,FALSE)),"")),""),"")</f>
        <v/>
      </c>
      <c r="P41" s="192" t="str">
        <f>IF(L41="IM-4P",IF(S41="",IF(#REF!=50,IF(ISNA(VLOOKUP(M41,電動機５０,4,FALSE)),"",VLOOKUP(M41,電動機５０,4,FALSE)),IF(#REF!=60,IF(ISNA(VLOOKUP(M41,電動機６０,4,FALSE)),"",VLOOKUP(M41,電動機６０,4,FALSE)),"")),""),"")</f>
        <v/>
      </c>
      <c r="Q41" s="192" t="str">
        <f>IF(L41="IM-4P",IF(T41="",IF(#REF!=50,IF(ISNA(VLOOKUP(M41,電動機５０,2,FALSE)),"",VLOOKUP(M41,電動機５０,2,FALSE)),IF(#REF!=60,IF(ISNA(VLOOKUP(M41,電動機６０,2,FALSE)),"",VLOOKUP(M41,電動機６０,2,FALSE)),"")),""),"")</f>
        <v/>
      </c>
      <c r="R41" s="379"/>
      <c r="S41" s="379"/>
      <c r="T41" s="379"/>
      <c r="U41" s="193" t="str">
        <f t="shared" si="1"/>
        <v/>
      </c>
      <c r="V41" s="385"/>
      <c r="W41" s="381"/>
      <c r="X41" s="382"/>
      <c r="Y41" s="198" t="str">
        <f t="shared" si="2"/>
        <v/>
      </c>
      <c r="Z41" s="199" t="str">
        <f t="shared" si="10"/>
        <v/>
      </c>
      <c r="AA41" s="200" t="str">
        <f t="shared" si="3"/>
        <v/>
      </c>
      <c r="AB41" s="386"/>
      <c r="AD41" s="196" t="str">
        <f t="shared" si="4"/>
        <v/>
      </c>
      <c r="AE41" s="384">
        <f t="shared" si="11"/>
        <v>0</v>
      </c>
      <c r="AG41" s="197" t="str">
        <f t="shared" si="12"/>
        <v/>
      </c>
      <c r="AH41" s="197" t="str">
        <f t="shared" si="6"/>
        <v/>
      </c>
      <c r="AI41" s="197" t="str">
        <f t="shared" si="7"/>
        <v/>
      </c>
    </row>
    <row r="42" spans="2:35" x14ac:dyDescent="0.15">
      <c r="B42" s="190"/>
      <c r="C42" s="883"/>
      <c r="D42" s="884"/>
      <c r="E42" s="884"/>
      <c r="F42" s="850"/>
      <c r="G42" s="851"/>
      <c r="H42" s="852"/>
      <c r="I42" s="853"/>
      <c r="J42" s="853"/>
      <c r="K42" s="853"/>
      <c r="L42" s="376"/>
      <c r="M42" s="377"/>
      <c r="N42" s="378"/>
      <c r="O42" s="191" t="str">
        <f>IF(L42="IM-4P",IF(R42="",IF(#REF!=50,IF(ISNA(VLOOKUP(M42,電動機５０,3,FALSE)),"",VLOOKUP(M42,電動機５０,3,FALSE)),IF(#REF!=60,IF(ISNA(VLOOKUP(M42,電動機６０,3,FALSE)),"",VLOOKUP(M42,電動機６０,3,FALSE)),"")),""),"")</f>
        <v/>
      </c>
      <c r="P42" s="192" t="str">
        <f>IF(L42="IM-4P",IF(S42="",IF(#REF!=50,IF(ISNA(VLOOKUP(M42,電動機５０,4,FALSE)),"",VLOOKUP(M42,電動機５０,4,FALSE)),IF(#REF!=60,IF(ISNA(VLOOKUP(M42,電動機６０,4,FALSE)),"",VLOOKUP(M42,電動機６０,4,FALSE)),"")),""),"")</f>
        <v/>
      </c>
      <c r="Q42" s="192" t="str">
        <f>IF(L42="IM-4P",IF(T42="",IF(#REF!=50,IF(ISNA(VLOOKUP(M42,電動機５０,2,FALSE)),"",VLOOKUP(M42,電動機５０,2,FALSE)),IF(#REF!=60,IF(ISNA(VLOOKUP(M42,電動機６０,2,FALSE)),"",VLOOKUP(M42,電動機６０,2,FALSE)),"")),""),"")</f>
        <v/>
      </c>
      <c r="R42" s="379"/>
      <c r="S42" s="379"/>
      <c r="T42" s="379"/>
      <c r="U42" s="193" t="str">
        <f t="shared" si="1"/>
        <v/>
      </c>
      <c r="V42" s="385"/>
      <c r="W42" s="381"/>
      <c r="X42" s="382"/>
      <c r="Y42" s="198" t="str">
        <f t="shared" si="2"/>
        <v/>
      </c>
      <c r="Z42" s="199" t="str">
        <f t="shared" si="10"/>
        <v/>
      </c>
      <c r="AA42" s="200" t="str">
        <f t="shared" si="3"/>
        <v/>
      </c>
      <c r="AB42" s="386"/>
      <c r="AD42" s="196" t="str">
        <f t="shared" si="4"/>
        <v/>
      </c>
      <c r="AE42" s="384">
        <f t="shared" si="11"/>
        <v>0</v>
      </c>
      <c r="AG42" s="197" t="str">
        <f t="shared" si="12"/>
        <v/>
      </c>
      <c r="AH42" s="197" t="str">
        <f t="shared" si="6"/>
        <v/>
      </c>
      <c r="AI42" s="197" t="str">
        <f t="shared" si="7"/>
        <v/>
      </c>
    </row>
    <row r="43" spans="2:35" x14ac:dyDescent="0.15">
      <c r="B43" s="190"/>
      <c r="C43" s="883"/>
      <c r="D43" s="884"/>
      <c r="E43" s="884"/>
      <c r="F43" s="864"/>
      <c r="G43" s="865"/>
      <c r="H43" s="885"/>
      <c r="I43" s="886"/>
      <c r="J43" s="886"/>
      <c r="K43" s="886"/>
      <c r="L43" s="376"/>
      <c r="M43" s="377"/>
      <c r="N43" s="378"/>
      <c r="O43" s="191" t="str">
        <f>IF(L43="IM-4P",IF(R43="",IF(#REF!=50,IF(ISNA(VLOOKUP(M43,電動機５０,3,FALSE)),"",VLOOKUP(M43,電動機５０,3,FALSE)),IF(#REF!=60,IF(ISNA(VLOOKUP(M43,電動機６０,3,FALSE)),"",VLOOKUP(M43,電動機６０,3,FALSE)),"")),""),"")</f>
        <v/>
      </c>
      <c r="P43" s="192" t="str">
        <f>IF(L43="IM-4P",IF(S43="",IF(#REF!=50,IF(ISNA(VLOOKUP(M43,電動機５０,4,FALSE)),"",VLOOKUP(M43,電動機５０,4,FALSE)),IF(#REF!=60,IF(ISNA(VLOOKUP(M43,電動機６０,4,FALSE)),"",VLOOKUP(M43,電動機６０,4,FALSE)),"")),""),"")</f>
        <v/>
      </c>
      <c r="Q43" s="192" t="str">
        <f>IF(L43="IM-4P",IF(T43="",IF(#REF!=50,IF(ISNA(VLOOKUP(M43,電動機５０,2,FALSE)),"",VLOOKUP(M43,電動機５０,2,FALSE)),IF(#REF!=60,IF(ISNA(VLOOKUP(M43,電動機６０,2,FALSE)),"",VLOOKUP(M43,電動機６０,2,FALSE)),"")),""),"")</f>
        <v/>
      </c>
      <c r="R43" s="379"/>
      <c r="S43" s="379"/>
      <c r="T43" s="379"/>
      <c r="U43" s="193" t="str">
        <f t="shared" si="1"/>
        <v/>
      </c>
      <c r="V43" s="385"/>
      <c r="W43" s="381"/>
      <c r="X43" s="382"/>
      <c r="Y43" s="198" t="str">
        <f t="shared" si="2"/>
        <v/>
      </c>
      <c r="Z43" s="199" t="str">
        <f t="shared" si="10"/>
        <v/>
      </c>
      <c r="AA43" s="200" t="str">
        <f t="shared" si="3"/>
        <v/>
      </c>
      <c r="AB43" s="386"/>
      <c r="AD43" s="196" t="str">
        <f t="shared" si="4"/>
        <v/>
      </c>
      <c r="AE43" s="384">
        <f t="shared" si="11"/>
        <v>0</v>
      </c>
      <c r="AG43" s="197" t="str">
        <f t="shared" si="12"/>
        <v/>
      </c>
      <c r="AH43" s="197" t="str">
        <f t="shared" si="6"/>
        <v/>
      </c>
      <c r="AI43" s="197" t="str">
        <f t="shared" si="7"/>
        <v/>
      </c>
    </row>
    <row r="44" spans="2:35" x14ac:dyDescent="0.15">
      <c r="B44" s="201"/>
      <c r="C44" s="887"/>
      <c r="D44" s="888"/>
      <c r="E44" s="888"/>
      <c r="F44" s="864"/>
      <c r="G44" s="865"/>
      <c r="H44" s="885"/>
      <c r="I44" s="886"/>
      <c r="J44" s="886"/>
      <c r="K44" s="886"/>
      <c r="L44" s="376"/>
      <c r="M44" s="377"/>
      <c r="N44" s="378"/>
      <c r="O44" s="191" t="str">
        <f>IF(L44="IM-4P",IF(R44="",IF(#REF!=50,IF(ISNA(VLOOKUP(M44,電動機５０,3,FALSE)),"",VLOOKUP(M44,電動機５０,3,FALSE)),IF(#REF!=60,IF(ISNA(VLOOKUP(M44,電動機６０,3,FALSE)),"",VLOOKUP(M44,電動機６０,3,FALSE)),"")),""),"")</f>
        <v/>
      </c>
      <c r="P44" s="192" t="str">
        <f>IF(L44="IM-4P",IF(S44="",IF(#REF!=50,IF(ISNA(VLOOKUP(M44,電動機５０,4,FALSE)),"",VLOOKUP(M44,電動機５０,4,FALSE)),IF(#REF!=60,IF(ISNA(VLOOKUP(M44,電動機６０,4,FALSE)),"",VLOOKUP(M44,電動機６０,4,FALSE)),"")),""),"")</f>
        <v/>
      </c>
      <c r="Q44" s="192" t="str">
        <f>IF(L44="IM-4P",IF(T44="",IF(#REF!=50,IF(ISNA(VLOOKUP(M44,電動機５０,2,FALSE)),"",VLOOKUP(M44,電動機５０,2,FALSE)),IF(#REF!=60,IF(ISNA(VLOOKUP(M44,電動機６０,2,FALSE)),"",VLOOKUP(M44,電動機６０,2,FALSE)),"")),""),"")</f>
        <v/>
      </c>
      <c r="R44" s="379"/>
      <c r="S44" s="379"/>
      <c r="T44" s="379"/>
      <c r="U44" s="193" t="str">
        <f t="shared" si="1"/>
        <v/>
      </c>
      <c r="V44" s="385"/>
      <c r="W44" s="381"/>
      <c r="X44" s="382"/>
      <c r="Y44" s="198" t="str">
        <f t="shared" si="2"/>
        <v/>
      </c>
      <c r="Z44" s="199" t="str">
        <f t="shared" si="10"/>
        <v/>
      </c>
      <c r="AA44" s="200" t="str">
        <f t="shared" si="3"/>
        <v/>
      </c>
      <c r="AB44" s="386"/>
      <c r="AD44" s="196" t="str">
        <f t="shared" si="4"/>
        <v/>
      </c>
      <c r="AE44" s="384">
        <f t="shared" si="11"/>
        <v>0</v>
      </c>
      <c r="AG44" s="197" t="str">
        <f t="shared" si="12"/>
        <v/>
      </c>
      <c r="AH44" s="197" t="str">
        <f t="shared" si="6"/>
        <v/>
      </c>
      <c r="AI44" s="197" t="str">
        <f t="shared" si="7"/>
        <v/>
      </c>
    </row>
    <row r="45" spans="2:35" ht="12" customHeight="1" x14ac:dyDescent="0.15">
      <c r="B45" s="201"/>
      <c r="C45" s="883"/>
      <c r="D45" s="884"/>
      <c r="E45" s="884"/>
      <c r="F45" s="864"/>
      <c r="G45" s="865"/>
      <c r="H45" s="885"/>
      <c r="I45" s="886"/>
      <c r="J45" s="886"/>
      <c r="K45" s="886"/>
      <c r="L45" s="376"/>
      <c r="M45" s="377"/>
      <c r="N45" s="378"/>
      <c r="O45" s="191" t="str">
        <f>IF(L45="IM-4P",IF(R45="",IF(#REF!=50,IF(ISNA(VLOOKUP(M45,電動機５０,3,FALSE)),"",VLOOKUP(M45,電動機５０,3,FALSE)),IF(#REF!=60,IF(ISNA(VLOOKUP(M45,電動機６０,3,FALSE)),"",VLOOKUP(M45,電動機６０,3,FALSE)),"")),""),"")</f>
        <v/>
      </c>
      <c r="P45" s="192" t="str">
        <f>IF(L45="IM-4P",IF(S45="",IF(#REF!=50,IF(ISNA(VLOOKUP(M45,電動機５０,4,FALSE)),"",VLOOKUP(M45,電動機５０,4,FALSE)),IF(#REF!=60,IF(ISNA(VLOOKUP(M45,電動機６０,4,FALSE)),"",VLOOKUP(M45,電動機６０,4,FALSE)),"")),""),"")</f>
        <v/>
      </c>
      <c r="Q45" s="192" t="str">
        <f>IF(L45="IM-4P",IF(T45="",IF(#REF!=50,IF(ISNA(VLOOKUP(M45,電動機５０,2,FALSE)),"",VLOOKUP(M45,電動機５０,2,FALSE)),IF(#REF!=60,IF(ISNA(VLOOKUP(M45,電動機６０,2,FALSE)),"",VLOOKUP(M45,電動機６０,2,FALSE)),"")),""),"")</f>
        <v/>
      </c>
      <c r="R45" s="379"/>
      <c r="S45" s="379"/>
      <c r="T45" s="379"/>
      <c r="U45" s="193" t="str">
        <f t="shared" si="1"/>
        <v/>
      </c>
      <c r="V45" s="385"/>
      <c r="W45" s="381"/>
      <c r="X45" s="382"/>
      <c r="Y45" s="198" t="str">
        <f t="shared" si="2"/>
        <v/>
      </c>
      <c r="Z45" s="199" t="str">
        <f t="shared" si="10"/>
        <v/>
      </c>
      <c r="AA45" s="200" t="str">
        <f t="shared" si="3"/>
        <v/>
      </c>
      <c r="AB45" s="386"/>
      <c r="AD45" s="196" t="str">
        <f t="shared" si="4"/>
        <v/>
      </c>
      <c r="AE45" s="384">
        <f t="shared" si="11"/>
        <v>0</v>
      </c>
      <c r="AG45" s="197" t="str">
        <f t="shared" si="12"/>
        <v/>
      </c>
      <c r="AH45" s="197" t="str">
        <f t="shared" si="6"/>
        <v/>
      </c>
      <c r="AI45" s="197" t="str">
        <f t="shared" si="7"/>
        <v/>
      </c>
    </row>
    <row r="46" spans="2:35" x14ac:dyDescent="0.15">
      <c r="B46" s="201"/>
      <c r="C46" s="883"/>
      <c r="D46" s="884"/>
      <c r="E46" s="884"/>
      <c r="F46" s="850"/>
      <c r="G46" s="851"/>
      <c r="H46" s="852"/>
      <c r="I46" s="853"/>
      <c r="J46" s="853"/>
      <c r="K46" s="853"/>
      <c r="L46" s="376"/>
      <c r="M46" s="377"/>
      <c r="N46" s="378"/>
      <c r="O46" s="191" t="str">
        <f>IF(L46="IM-4P",IF(R46="",IF(#REF!=50,IF(ISNA(VLOOKUP(M46,電動機５０,3,FALSE)),"",VLOOKUP(M46,電動機５０,3,FALSE)),IF(#REF!=60,IF(ISNA(VLOOKUP(M46,電動機６０,3,FALSE)),"",VLOOKUP(M46,電動機６０,3,FALSE)),"")),""),"")</f>
        <v/>
      </c>
      <c r="P46" s="192" t="str">
        <f>IF(L46="IM-4P",IF(S46="",IF(#REF!=50,IF(ISNA(VLOOKUP(M46,電動機５０,4,FALSE)),"",VLOOKUP(M46,電動機５０,4,FALSE)),IF(#REF!=60,IF(ISNA(VLOOKUP(M46,電動機６０,4,FALSE)),"",VLOOKUP(M46,電動機６０,4,FALSE)),"")),""),"")</f>
        <v/>
      </c>
      <c r="Q46" s="192" t="str">
        <f>IF(L46="IM-4P",IF(T46="",IF(#REF!=50,IF(ISNA(VLOOKUP(M46,電動機５０,2,FALSE)),"",VLOOKUP(M46,電動機５０,2,FALSE)),IF(#REF!=60,IF(ISNA(VLOOKUP(M46,電動機６０,2,FALSE)),"",VLOOKUP(M46,電動機６０,2,FALSE)),"")),""),"")</f>
        <v/>
      </c>
      <c r="R46" s="379"/>
      <c r="S46" s="379"/>
      <c r="T46" s="379"/>
      <c r="U46" s="193" t="str">
        <f t="shared" si="1"/>
        <v/>
      </c>
      <c r="V46" s="385"/>
      <c r="W46" s="381"/>
      <c r="X46" s="382"/>
      <c r="Y46" s="198" t="str">
        <f t="shared" si="2"/>
        <v/>
      </c>
      <c r="Z46" s="199" t="str">
        <f t="shared" si="10"/>
        <v/>
      </c>
      <c r="AA46" s="200" t="str">
        <f t="shared" si="3"/>
        <v/>
      </c>
      <c r="AB46" s="386"/>
      <c r="AD46" s="196" t="str">
        <f t="shared" si="4"/>
        <v/>
      </c>
      <c r="AE46" s="384">
        <f t="shared" si="11"/>
        <v>0</v>
      </c>
      <c r="AG46" s="197" t="str">
        <f t="shared" si="12"/>
        <v/>
      </c>
      <c r="AH46" s="197" t="str">
        <f t="shared" si="6"/>
        <v/>
      </c>
      <c r="AI46" s="197" t="str">
        <f t="shared" si="7"/>
        <v/>
      </c>
    </row>
    <row r="47" spans="2:35" x14ac:dyDescent="0.15">
      <c r="B47" s="190"/>
      <c r="C47" s="883"/>
      <c r="D47" s="884"/>
      <c r="E47" s="884"/>
      <c r="F47" s="864"/>
      <c r="G47" s="865"/>
      <c r="H47" s="885"/>
      <c r="I47" s="886"/>
      <c r="J47" s="886"/>
      <c r="K47" s="886"/>
      <c r="L47" s="376"/>
      <c r="M47" s="377"/>
      <c r="N47" s="378"/>
      <c r="O47" s="191" t="str">
        <f>IF(L47="IM-4P",IF(R47="",IF(#REF!=50,IF(ISNA(VLOOKUP(M47,電動機５０,3,FALSE)),"",VLOOKUP(M47,電動機５０,3,FALSE)),IF(#REF!=60,IF(ISNA(VLOOKUP(M47,電動機６０,3,FALSE)),"",VLOOKUP(M47,電動機６０,3,FALSE)),"")),""),"")</f>
        <v/>
      </c>
      <c r="P47" s="192" t="str">
        <f>IF(L47="IM-4P",IF(S47="",IF(#REF!=50,IF(ISNA(VLOOKUP(M47,電動機５０,4,FALSE)),"",VLOOKUP(M47,電動機５０,4,FALSE)),IF(#REF!=60,IF(ISNA(VLOOKUP(M47,電動機６０,4,FALSE)),"",VLOOKUP(M47,電動機６０,4,FALSE)),"")),""),"")</f>
        <v/>
      </c>
      <c r="Q47" s="192" t="str">
        <f>IF(L47="IM-4P",IF(T47="",IF(#REF!=50,IF(ISNA(VLOOKUP(M47,電動機５０,2,FALSE)),"",VLOOKUP(M47,電動機５０,2,FALSE)),IF(#REF!=60,IF(ISNA(VLOOKUP(M47,電動機６０,2,FALSE)),"",VLOOKUP(M47,電動機６０,2,FALSE)),"")),""),"")</f>
        <v/>
      </c>
      <c r="R47" s="379"/>
      <c r="S47" s="379"/>
      <c r="T47" s="379"/>
      <c r="U47" s="193" t="str">
        <f t="shared" si="1"/>
        <v/>
      </c>
      <c r="V47" s="385"/>
      <c r="W47" s="381"/>
      <c r="X47" s="382"/>
      <c r="Y47" s="198" t="str">
        <f t="shared" si="2"/>
        <v/>
      </c>
      <c r="Z47" s="199" t="str">
        <f t="shared" si="10"/>
        <v/>
      </c>
      <c r="AA47" s="200" t="str">
        <f t="shared" si="3"/>
        <v/>
      </c>
      <c r="AB47" s="386"/>
      <c r="AD47" s="196" t="str">
        <f t="shared" si="4"/>
        <v/>
      </c>
      <c r="AE47" s="384">
        <f t="shared" si="11"/>
        <v>0</v>
      </c>
      <c r="AG47" s="197" t="str">
        <f t="shared" si="12"/>
        <v/>
      </c>
      <c r="AH47" s="197" t="str">
        <f t="shared" si="6"/>
        <v/>
      </c>
      <c r="AI47" s="197" t="str">
        <f t="shared" si="7"/>
        <v/>
      </c>
    </row>
    <row r="48" spans="2:35" x14ac:dyDescent="0.15">
      <c r="B48" s="190"/>
      <c r="C48" s="883"/>
      <c r="D48" s="884"/>
      <c r="E48" s="884"/>
      <c r="F48" s="864"/>
      <c r="G48" s="865"/>
      <c r="H48" s="885"/>
      <c r="I48" s="886"/>
      <c r="J48" s="886"/>
      <c r="K48" s="886"/>
      <c r="L48" s="376"/>
      <c r="M48" s="377"/>
      <c r="N48" s="378"/>
      <c r="O48" s="191" t="str">
        <f>IF(L48="IM-4P",IF(R48="",IF(#REF!=50,IF(ISNA(VLOOKUP(M48,電動機５０,3,FALSE)),"",VLOOKUP(M48,電動機５０,3,FALSE)),IF(#REF!=60,IF(ISNA(VLOOKUP(M48,電動機６０,3,FALSE)),"",VLOOKUP(M48,電動機６０,3,FALSE)),"")),""),"")</f>
        <v/>
      </c>
      <c r="P48" s="192" t="str">
        <f>IF(L48="IM-4P",IF(S48="",IF(#REF!=50,IF(ISNA(VLOOKUP(M48,電動機５０,4,FALSE)),"",VLOOKUP(M48,電動機５０,4,FALSE)),IF(#REF!=60,IF(ISNA(VLOOKUP(M48,電動機６０,4,FALSE)),"",VLOOKUP(M48,電動機６０,4,FALSE)),"")),""),"")</f>
        <v/>
      </c>
      <c r="Q48" s="192" t="str">
        <f>IF(L48="IM-4P",IF(T48="",IF(#REF!=50,IF(ISNA(VLOOKUP(M48,電動機５０,2,FALSE)),"",VLOOKUP(M48,電動機５０,2,FALSE)),IF(#REF!=60,IF(ISNA(VLOOKUP(M48,電動機６０,2,FALSE)),"",VLOOKUP(M48,電動機６０,2,FALSE)),"")),""),"")</f>
        <v/>
      </c>
      <c r="R48" s="379"/>
      <c r="S48" s="379"/>
      <c r="T48" s="379"/>
      <c r="U48" s="193" t="str">
        <f t="shared" si="1"/>
        <v/>
      </c>
      <c r="V48" s="385"/>
      <c r="W48" s="381"/>
      <c r="X48" s="382"/>
      <c r="Y48" s="198" t="str">
        <f t="shared" si="2"/>
        <v/>
      </c>
      <c r="Z48" s="199" t="str">
        <f t="shared" si="10"/>
        <v/>
      </c>
      <c r="AA48" s="200" t="str">
        <f t="shared" si="3"/>
        <v/>
      </c>
      <c r="AB48" s="386"/>
      <c r="AD48" s="196" t="str">
        <f t="shared" si="4"/>
        <v/>
      </c>
      <c r="AE48" s="384">
        <f t="shared" si="11"/>
        <v>0</v>
      </c>
      <c r="AG48" s="197" t="str">
        <f t="shared" si="12"/>
        <v/>
      </c>
      <c r="AH48" s="197" t="str">
        <f t="shared" si="6"/>
        <v/>
      </c>
      <c r="AI48" s="197" t="str">
        <f t="shared" si="7"/>
        <v/>
      </c>
    </row>
    <row r="49" spans="2:35" x14ac:dyDescent="0.15">
      <c r="B49" s="190"/>
      <c r="C49" s="883"/>
      <c r="D49" s="884"/>
      <c r="E49" s="884"/>
      <c r="F49" s="864"/>
      <c r="G49" s="865"/>
      <c r="H49" s="885"/>
      <c r="I49" s="886"/>
      <c r="J49" s="886"/>
      <c r="K49" s="886"/>
      <c r="L49" s="376"/>
      <c r="M49" s="377"/>
      <c r="N49" s="378"/>
      <c r="O49" s="191" t="str">
        <f>IF(L49="IM-4P",IF(R49="",IF($I$2=50,IF(ISNA(VLOOKUP(M49,電動機５０,3,FALSE)),"",VLOOKUP(M49,電動機５０,3,FALSE)),IF($I$2=60,IF(ISNA(VLOOKUP(M49,電動機６０,3,FALSE)),"",VLOOKUP(M49,電動機６０,3,FALSE)),"")),""),"")</f>
        <v/>
      </c>
      <c r="P49" s="192" t="str">
        <f>IF(L49="IM-4P",IF(S49="",IF($I$2=50,IF(ISNA(VLOOKUP(M49,電動機５０,4,FALSE)),"",VLOOKUP(M49,電動機５０,4,FALSE)),IF($I$2=60,IF(ISNA(VLOOKUP(M49,電動機６０,4,FALSE)),"",VLOOKUP(M49,電動機６０,4,FALSE)),"")),""),"")</f>
        <v/>
      </c>
      <c r="Q49" s="192" t="str">
        <f>IF(L49="IM-4P",IF(T49="",IF($I$2=50,IF(ISNA(VLOOKUP(M49,電動機５０,2,FALSE)),"",VLOOKUP(M49,電動機５０,2,FALSE)),IF($I$2=60,IF(ISNA(VLOOKUP(M49,電動機６０,2,FALSE)),"",VLOOKUP(M49,電動機６０,2,FALSE)),"")),""),"")</f>
        <v/>
      </c>
      <c r="R49" s="379"/>
      <c r="S49" s="379"/>
      <c r="T49" s="379"/>
      <c r="U49" s="193" t="str">
        <f t="shared" si="1"/>
        <v/>
      </c>
      <c r="V49" s="385"/>
      <c r="W49" s="381"/>
      <c r="X49" s="382"/>
      <c r="Y49" s="198" t="str">
        <f t="shared" si="2"/>
        <v/>
      </c>
      <c r="Z49" s="199" t="str">
        <f t="shared" si="10"/>
        <v/>
      </c>
      <c r="AA49" s="200" t="str">
        <f t="shared" si="3"/>
        <v/>
      </c>
      <c r="AB49" s="386"/>
      <c r="AD49" s="196" t="str">
        <f t="shared" si="4"/>
        <v/>
      </c>
      <c r="AE49" s="384">
        <f>IF(AND(P49="",S49=""),0,IF(S49="",U49*X49*SQRT(1-(P49/100)^2)/(P49/100),U49*X49*SQRT(1-(S49/100)^2)/(S49/100)))</f>
        <v>0</v>
      </c>
      <c r="AG49" s="197" t="str">
        <f>IF(Y49="","",Y49/X49)</f>
        <v/>
      </c>
      <c r="AH49" s="197" t="str">
        <f>IF(Y49="","",Z49/X49)</f>
        <v/>
      </c>
      <c r="AI49" s="197" t="str">
        <f>IF(Y49="","",AA49/X49)</f>
        <v/>
      </c>
    </row>
    <row r="50" spans="2:35" x14ac:dyDescent="0.15">
      <c r="B50" s="190"/>
      <c r="C50" s="883"/>
      <c r="D50" s="884"/>
      <c r="E50" s="884"/>
      <c r="F50" s="850"/>
      <c r="G50" s="851"/>
      <c r="H50" s="852"/>
      <c r="I50" s="853"/>
      <c r="J50" s="853"/>
      <c r="K50" s="853"/>
      <c r="L50" s="376"/>
      <c r="M50" s="377"/>
      <c r="N50" s="378"/>
      <c r="O50" s="191" t="str">
        <f>IF(L50="IM-4P",IF(R50="",IF(#REF!=50,IF(ISNA(VLOOKUP(M50,電動機５０,3,FALSE)),"",VLOOKUP(M50,電動機５０,3,FALSE)),IF(#REF!=60,IF(ISNA(VLOOKUP(M50,電動機６０,3,FALSE)),"",VLOOKUP(M50,電動機６０,3,FALSE)),"")),""),"")</f>
        <v/>
      </c>
      <c r="P50" s="192" t="str">
        <f>IF(L50="IM-4P",IF(S50="",IF(#REF!=50,IF(ISNA(VLOOKUP(M50,電動機５０,4,FALSE)),"",VLOOKUP(M50,電動機５０,4,FALSE)),IF(#REF!=60,IF(ISNA(VLOOKUP(M50,電動機６０,4,FALSE)),"",VLOOKUP(M50,電動機６０,4,FALSE)),"")),""),"")</f>
        <v/>
      </c>
      <c r="Q50" s="192" t="str">
        <f>IF(L50="IM-4P",IF(T50="",IF(#REF!=50,IF(ISNA(VLOOKUP(M50,電動機５０,2,FALSE)),"",VLOOKUP(M50,電動機５０,2,FALSE)),IF(#REF!=60,IF(ISNA(VLOOKUP(M50,電動機６０,2,FALSE)),"",VLOOKUP(M50,電動機６０,2,FALSE)),"")),""),"")</f>
        <v/>
      </c>
      <c r="R50" s="379"/>
      <c r="S50" s="379"/>
      <c r="T50" s="379"/>
      <c r="U50" s="193" t="str">
        <f t="shared" si="1"/>
        <v/>
      </c>
      <c r="V50" s="385"/>
      <c r="W50" s="381"/>
      <c r="X50" s="382"/>
      <c r="Y50" s="198" t="str">
        <f t="shared" si="2"/>
        <v/>
      </c>
      <c r="Z50" s="199" t="str">
        <f t="shared" si="10"/>
        <v/>
      </c>
      <c r="AA50" s="200" t="str">
        <f t="shared" si="3"/>
        <v/>
      </c>
      <c r="AB50" s="386"/>
      <c r="AD50" s="196" t="str">
        <f t="shared" si="4"/>
        <v/>
      </c>
      <c r="AE50" s="384">
        <f t="shared" si="11"/>
        <v>0</v>
      </c>
      <c r="AG50" s="197" t="str">
        <f t="shared" si="12"/>
        <v/>
      </c>
      <c r="AH50" s="197" t="str">
        <f t="shared" si="6"/>
        <v/>
      </c>
      <c r="AI50" s="197" t="str">
        <f t="shared" si="7"/>
        <v/>
      </c>
    </row>
    <row r="51" spans="2:35" x14ac:dyDescent="0.15">
      <c r="B51" s="190"/>
      <c r="C51" s="883"/>
      <c r="D51" s="884"/>
      <c r="E51" s="884"/>
      <c r="F51" s="864"/>
      <c r="G51" s="865"/>
      <c r="H51" s="885"/>
      <c r="I51" s="886"/>
      <c r="J51" s="886"/>
      <c r="K51" s="886"/>
      <c r="L51" s="376"/>
      <c r="M51" s="377"/>
      <c r="N51" s="378"/>
      <c r="O51" s="191" t="str">
        <f>IF(L51="IM-4P",IF(R51="",IF(#REF!=50,IF(ISNA(VLOOKUP(M51,電動機５０,3,FALSE)),"",VLOOKUP(M51,電動機５０,3,FALSE)),IF(#REF!=60,IF(ISNA(VLOOKUP(M51,電動機６０,3,FALSE)),"",VLOOKUP(M51,電動機６０,3,FALSE)),"")),""),"")</f>
        <v/>
      </c>
      <c r="P51" s="192" t="str">
        <f>IF(L51="IM-4P",IF(S51="",IF(#REF!=50,IF(ISNA(VLOOKUP(M51,電動機５０,4,FALSE)),"",VLOOKUP(M51,電動機５０,4,FALSE)),IF(#REF!=60,IF(ISNA(VLOOKUP(M51,電動機６０,4,FALSE)),"",VLOOKUP(M51,電動機６０,4,FALSE)),"")),""),"")</f>
        <v/>
      </c>
      <c r="Q51" s="192" t="str">
        <f>IF(L51="IM-4P",IF(T51="",IF(#REF!=50,IF(ISNA(VLOOKUP(M51,電動機５０,2,FALSE)),"",VLOOKUP(M51,電動機５０,2,FALSE)),IF(#REF!=60,IF(ISNA(VLOOKUP(M51,電動機６０,2,FALSE)),"",VLOOKUP(M51,電動機６０,2,FALSE)),"")),""),"")</f>
        <v/>
      </c>
      <c r="R51" s="379"/>
      <c r="S51" s="379"/>
      <c r="T51" s="379"/>
      <c r="U51" s="193" t="str">
        <f t="shared" si="1"/>
        <v/>
      </c>
      <c r="V51" s="385"/>
      <c r="W51" s="381"/>
      <c r="X51" s="382"/>
      <c r="Y51" s="198" t="str">
        <f t="shared" si="2"/>
        <v/>
      </c>
      <c r="Z51" s="199" t="str">
        <f t="shared" si="10"/>
        <v/>
      </c>
      <c r="AA51" s="200" t="str">
        <f t="shared" si="3"/>
        <v/>
      </c>
      <c r="AB51" s="386"/>
      <c r="AD51" s="196" t="str">
        <f t="shared" si="4"/>
        <v/>
      </c>
      <c r="AE51" s="384">
        <f t="shared" si="11"/>
        <v>0</v>
      </c>
      <c r="AG51" s="197" t="str">
        <f t="shared" si="12"/>
        <v/>
      </c>
      <c r="AH51" s="197" t="str">
        <f t="shared" si="6"/>
        <v/>
      </c>
      <c r="AI51" s="197" t="str">
        <f t="shared" si="7"/>
        <v/>
      </c>
    </row>
    <row r="52" spans="2:35" x14ac:dyDescent="0.15">
      <c r="B52" s="190"/>
      <c r="C52" s="883"/>
      <c r="D52" s="884"/>
      <c r="E52" s="884"/>
      <c r="F52" s="850"/>
      <c r="G52" s="851"/>
      <c r="H52" s="852"/>
      <c r="I52" s="853"/>
      <c r="J52" s="853"/>
      <c r="K52" s="853"/>
      <c r="L52" s="376"/>
      <c r="M52" s="377"/>
      <c r="N52" s="378"/>
      <c r="O52" s="191" t="str">
        <f>IF(L52="IM-4P",IF(R52="",IF(#REF!=50,IF(ISNA(VLOOKUP(M52,電動機５０,3,FALSE)),"",VLOOKUP(M52,電動機５０,3,FALSE)),IF(#REF!=60,IF(ISNA(VLOOKUP(M52,電動機６０,3,FALSE)),"",VLOOKUP(M52,電動機６０,3,FALSE)),"")),""),"")</f>
        <v/>
      </c>
      <c r="P52" s="192" t="str">
        <f>IF(L52="IM-4P",IF(S52="",IF(#REF!=50,IF(ISNA(VLOOKUP(M52,電動機５０,4,FALSE)),"",VLOOKUP(M52,電動機５０,4,FALSE)),IF(#REF!=60,IF(ISNA(VLOOKUP(M52,電動機６０,4,FALSE)),"",VLOOKUP(M52,電動機６０,4,FALSE)),"")),""),"")</f>
        <v/>
      </c>
      <c r="Q52" s="192" t="str">
        <f>IF(L52="IM-4P",IF(T52="",IF(#REF!=50,IF(ISNA(VLOOKUP(M52,電動機５０,2,FALSE)),"",VLOOKUP(M52,電動機５０,2,FALSE)),IF(#REF!=60,IF(ISNA(VLOOKUP(M52,電動機６０,2,FALSE)),"",VLOOKUP(M52,電動機６０,2,FALSE)),"")),""),"")</f>
        <v/>
      </c>
      <c r="R52" s="379"/>
      <c r="S52" s="379"/>
      <c r="T52" s="379"/>
      <c r="U52" s="193" t="str">
        <f t="shared" si="1"/>
        <v/>
      </c>
      <c r="V52" s="385"/>
      <c r="W52" s="381"/>
      <c r="X52" s="382"/>
      <c r="Y52" s="198" t="str">
        <f t="shared" si="2"/>
        <v/>
      </c>
      <c r="Z52" s="199" t="str">
        <f t="shared" si="10"/>
        <v/>
      </c>
      <c r="AA52" s="200" t="str">
        <f t="shared" si="3"/>
        <v/>
      </c>
      <c r="AB52" s="386"/>
      <c r="AD52" s="196" t="str">
        <f t="shared" si="4"/>
        <v/>
      </c>
      <c r="AE52" s="384">
        <f t="shared" si="11"/>
        <v>0</v>
      </c>
      <c r="AG52" s="197" t="str">
        <f t="shared" si="12"/>
        <v/>
      </c>
      <c r="AH52" s="197" t="str">
        <f t="shared" si="6"/>
        <v/>
      </c>
      <c r="AI52" s="197" t="str">
        <f t="shared" si="7"/>
        <v/>
      </c>
    </row>
    <row r="53" spans="2:35" ht="12.75" customHeight="1" thickBot="1" x14ac:dyDescent="0.2">
      <c r="B53" s="202"/>
      <c r="C53" s="891"/>
      <c r="D53" s="892"/>
      <c r="E53" s="892"/>
      <c r="F53" s="893"/>
      <c r="G53" s="894"/>
      <c r="H53" s="895"/>
      <c r="I53" s="896"/>
      <c r="J53" s="896"/>
      <c r="K53" s="897"/>
      <c r="L53" s="387"/>
      <c r="M53" s="388"/>
      <c r="N53" s="389"/>
      <c r="O53" s="203" t="str">
        <f>IF(L53="IM-4P",IF(R53="",IF(#REF!=50,IF(ISNA(VLOOKUP(M53,電動機５０,3,FALSE)),"",VLOOKUP(M53,電動機５０,3,FALSE)),IF(#REF!=60,IF(ISNA(VLOOKUP(M53,電動機６０,3,FALSE)),"",VLOOKUP(M53,電動機６０,3,FALSE)),"")),""),"")</f>
        <v/>
      </c>
      <c r="P53" s="204" t="str">
        <f>IF(L53="IM-4P",IF(S53="",IF(#REF!=50,IF(ISNA(VLOOKUP(M53,電動機５０,4,FALSE)),"",VLOOKUP(M53,電動機５０,4,FALSE)),IF(#REF!=60,IF(ISNA(VLOOKUP(M53,電動機６０,4,FALSE)),"",VLOOKUP(M53,電動機６０,4,FALSE)),"")),""),"")</f>
        <v/>
      </c>
      <c r="Q53" s="204" t="str">
        <f>IF(L53="IM-4P",IF(T53="",IF(#REF!=50,IF(ISNA(VLOOKUP(M53,電動機５０,2,FALSE)),"",VLOOKUP(M53,電動機５０,2,FALSE)),IF(#REF!=60,IF(ISNA(VLOOKUP(M53,電動機６０,2,FALSE)),"",VLOOKUP(M53,電動機６０,2,FALSE)),"")),""),"")</f>
        <v/>
      </c>
      <c r="R53" s="390"/>
      <c r="S53" s="390"/>
      <c r="T53" s="390"/>
      <c r="U53" s="205" t="str">
        <f t="shared" si="1"/>
        <v/>
      </c>
      <c r="V53" s="391"/>
      <c r="W53" s="392"/>
      <c r="X53" s="393"/>
      <c r="Y53" s="206" t="str">
        <f t="shared" si="2"/>
        <v/>
      </c>
      <c r="Z53" s="204" t="str">
        <f t="shared" si="10"/>
        <v/>
      </c>
      <c r="AA53" s="207" t="str">
        <f t="shared" si="3"/>
        <v/>
      </c>
      <c r="AB53" s="394"/>
      <c r="AD53" s="196" t="str">
        <f t="shared" si="4"/>
        <v/>
      </c>
      <c r="AE53" s="384">
        <f t="shared" si="11"/>
        <v>0</v>
      </c>
      <c r="AG53" s="197" t="str">
        <f t="shared" si="12"/>
        <v/>
      </c>
      <c r="AH53" s="197" t="str">
        <f t="shared" si="6"/>
        <v/>
      </c>
      <c r="AI53" s="197" t="str">
        <f t="shared" si="7"/>
        <v/>
      </c>
    </row>
    <row r="54" spans="2:35" x14ac:dyDescent="0.15">
      <c r="B54" s="395"/>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row>
  </sheetData>
  <sheetProtection password="B220" sheet="1" objects="1" scenarios="1"/>
  <mergeCells count="179">
    <mergeCell ref="C52:E52"/>
    <mergeCell ref="F52:G52"/>
    <mergeCell ref="H52:K52"/>
    <mergeCell ref="C53:E53"/>
    <mergeCell ref="F53:G53"/>
    <mergeCell ref="H53:K53"/>
    <mergeCell ref="C50:E50"/>
    <mergeCell ref="F50:G50"/>
    <mergeCell ref="H50:K50"/>
    <mergeCell ref="C51:E51"/>
    <mergeCell ref="F51:G51"/>
    <mergeCell ref="H51:K51"/>
    <mergeCell ref="C48:E48"/>
    <mergeCell ref="F48:G48"/>
    <mergeCell ref="H48:K48"/>
    <mergeCell ref="C49:E49"/>
    <mergeCell ref="F49:G49"/>
    <mergeCell ref="H49:K49"/>
    <mergeCell ref="C46:E46"/>
    <mergeCell ref="F46:G46"/>
    <mergeCell ref="H46:K46"/>
    <mergeCell ref="C47:E47"/>
    <mergeCell ref="F47:G47"/>
    <mergeCell ref="H47:K47"/>
    <mergeCell ref="C44:E44"/>
    <mergeCell ref="F44:G44"/>
    <mergeCell ref="H44:K44"/>
    <mergeCell ref="C45:E45"/>
    <mergeCell ref="F45:G45"/>
    <mergeCell ref="H45:K45"/>
    <mergeCell ref="C42:E42"/>
    <mergeCell ref="F42:G42"/>
    <mergeCell ref="H42:K42"/>
    <mergeCell ref="C43:E43"/>
    <mergeCell ref="F43:G43"/>
    <mergeCell ref="H43:K43"/>
    <mergeCell ref="C40:E40"/>
    <mergeCell ref="F40:G40"/>
    <mergeCell ref="H40:K40"/>
    <mergeCell ref="C41:E41"/>
    <mergeCell ref="F41:G41"/>
    <mergeCell ref="H41:K41"/>
    <mergeCell ref="C38:E38"/>
    <mergeCell ref="F38:G38"/>
    <mergeCell ref="H38:K38"/>
    <mergeCell ref="C39:E39"/>
    <mergeCell ref="F39:G39"/>
    <mergeCell ref="H39:K39"/>
    <mergeCell ref="C36:E36"/>
    <mergeCell ref="F36:G36"/>
    <mergeCell ref="H36:K36"/>
    <mergeCell ref="C37:E37"/>
    <mergeCell ref="F37:G37"/>
    <mergeCell ref="H37:K37"/>
    <mergeCell ref="C34:E34"/>
    <mergeCell ref="F34:G34"/>
    <mergeCell ref="H34:K34"/>
    <mergeCell ref="C35:E35"/>
    <mergeCell ref="F35:G35"/>
    <mergeCell ref="H35:K35"/>
    <mergeCell ref="C32:E32"/>
    <mergeCell ref="F32:G32"/>
    <mergeCell ref="H32:K32"/>
    <mergeCell ref="C33:E33"/>
    <mergeCell ref="F33:G33"/>
    <mergeCell ref="H33:K33"/>
    <mergeCell ref="C30:E30"/>
    <mergeCell ref="F30:G30"/>
    <mergeCell ref="H30:K30"/>
    <mergeCell ref="C31:E31"/>
    <mergeCell ref="F31:G31"/>
    <mergeCell ref="H31:K31"/>
    <mergeCell ref="C28:E28"/>
    <mergeCell ref="F28:G28"/>
    <mergeCell ref="H28:K28"/>
    <mergeCell ref="C29:E29"/>
    <mergeCell ref="F29:G29"/>
    <mergeCell ref="H29:K29"/>
    <mergeCell ref="C26:E26"/>
    <mergeCell ref="F26:G26"/>
    <mergeCell ref="H26:K26"/>
    <mergeCell ref="C27:E27"/>
    <mergeCell ref="F27:G27"/>
    <mergeCell ref="H27:K27"/>
    <mergeCell ref="C24:E24"/>
    <mergeCell ref="F24:G24"/>
    <mergeCell ref="H24:K24"/>
    <mergeCell ref="C25:E25"/>
    <mergeCell ref="F25:G25"/>
    <mergeCell ref="H25:K25"/>
    <mergeCell ref="C22:E22"/>
    <mergeCell ref="F22:G22"/>
    <mergeCell ref="H22:K22"/>
    <mergeCell ref="C23:E23"/>
    <mergeCell ref="F23:G23"/>
    <mergeCell ref="H23:K23"/>
    <mergeCell ref="C20:E20"/>
    <mergeCell ref="F20:G20"/>
    <mergeCell ref="H20:K20"/>
    <mergeCell ref="C21:E21"/>
    <mergeCell ref="F21:G21"/>
    <mergeCell ref="H21:K21"/>
    <mergeCell ref="C18:E18"/>
    <mergeCell ref="F18:G18"/>
    <mergeCell ref="H18:K18"/>
    <mergeCell ref="C19:E19"/>
    <mergeCell ref="F19:G19"/>
    <mergeCell ref="H19:K19"/>
    <mergeCell ref="C16:E16"/>
    <mergeCell ref="F16:G16"/>
    <mergeCell ref="H16:K16"/>
    <mergeCell ref="C17:E17"/>
    <mergeCell ref="F17:G17"/>
    <mergeCell ref="H17:K17"/>
    <mergeCell ref="C14:E14"/>
    <mergeCell ref="F14:G14"/>
    <mergeCell ref="H14:K14"/>
    <mergeCell ref="C15:E15"/>
    <mergeCell ref="F15:G15"/>
    <mergeCell ref="H15:K15"/>
    <mergeCell ref="C12:E12"/>
    <mergeCell ref="F12:G12"/>
    <mergeCell ref="H12:K12"/>
    <mergeCell ref="C13:E13"/>
    <mergeCell ref="F13:G13"/>
    <mergeCell ref="H13:K13"/>
    <mergeCell ref="X8:X9"/>
    <mergeCell ref="AB8:AB9"/>
    <mergeCell ref="C10:E10"/>
    <mergeCell ref="F10:G10"/>
    <mergeCell ref="H10:K10"/>
    <mergeCell ref="C11:E11"/>
    <mergeCell ref="F11:G11"/>
    <mergeCell ref="H11:K11"/>
    <mergeCell ref="C8:E9"/>
    <mergeCell ref="F8:G9"/>
    <mergeCell ref="H8:K9"/>
    <mergeCell ref="N8:N9"/>
    <mergeCell ref="O8:Q8"/>
    <mergeCell ref="R8:T8"/>
    <mergeCell ref="B7:D7"/>
    <mergeCell ref="J7:L7"/>
    <mergeCell ref="M7:O7"/>
    <mergeCell ref="Q7:S7"/>
    <mergeCell ref="U7:V7"/>
    <mergeCell ref="X7:AB7"/>
    <mergeCell ref="X5:Z5"/>
    <mergeCell ref="AA5:AB5"/>
    <mergeCell ref="B6:D6"/>
    <mergeCell ref="J6:L6"/>
    <mergeCell ref="M6:O6"/>
    <mergeCell ref="Q6:S6"/>
    <mergeCell ref="U6:W6"/>
    <mergeCell ref="X6:AB6"/>
    <mergeCell ref="E5:G7"/>
    <mergeCell ref="H5:H7"/>
    <mergeCell ref="J5:K5"/>
    <mergeCell ref="M5:O5"/>
    <mergeCell ref="Q5:S5"/>
    <mergeCell ref="U5:V5"/>
    <mergeCell ref="B2:D2"/>
    <mergeCell ref="E2:G2"/>
    <mergeCell ref="J2:K2"/>
    <mergeCell ref="M2:P2"/>
    <mergeCell ref="Q2:T2"/>
    <mergeCell ref="U2:W2"/>
    <mergeCell ref="X3:AB4"/>
    <mergeCell ref="B4:D4"/>
    <mergeCell ref="E4:G4"/>
    <mergeCell ref="J4:K4"/>
    <mergeCell ref="M4:O4"/>
    <mergeCell ref="Q4:S4"/>
    <mergeCell ref="U4:W4"/>
    <mergeCell ref="B3:D3"/>
    <mergeCell ref="E3:G3"/>
    <mergeCell ref="J3:K3"/>
    <mergeCell ref="M3:O3"/>
    <mergeCell ref="Q3:S3"/>
    <mergeCell ref="U3:W3"/>
  </mergeCells>
  <phoneticPr fontId="3"/>
  <dataValidations count="8">
    <dataValidation type="decimal" errorStyle="information" allowBlank="1" showErrorMessage="1" errorTitle="Ｍａｎｕａｌ　Ｉｎｐｕｔ　ｏｆ　Ｌｏａｄ　ｆａｃｔｏｒ" error="Ｐｌｅａｓｅ　ｉｎｐｕｔ　ｔｈｅ　ｎｕｍｅｒｉｃａｌ　ｖａｌｕｅ_x000a_ｂｅｔｗｅｅｎ　ａｓ　ｆｏｌｌｏｗ ： 1～100（％）" sqref="T10:T53 W10:W53">
      <formula1>1</formula1>
      <formula2>100</formula2>
    </dataValidation>
    <dataValidation type="list" allowBlank="1" sqref="L10:L53">
      <formula1>"IM,IM-2P,IM-4P,IM-6P,IM-8P,SM,hearter,others"</formula1>
    </dataValidation>
    <dataValidation type="decimal" errorStyle="information" allowBlank="1" showErrorMessage="1" errorTitle="Ｍａｎｕａｌ　 Ｉｎｐｕｔ　ｏｆ　Ｄｅｍａｎｄ　Ｆａｃｔｏｒ" error="Ｐｌｅａｓｅ　ｉｎｐｕｔ　ｔｈｅ　ｎｕｍｅｒｉｃａｌ　ｖａｌｕｅ_x000a_ｂｅｔｗｅｅｎ　ａｓ　ｆｏｌｌｏｗ ：０．００～１．００" sqref="X10:X53">
      <formula1>0</formula1>
      <formula2>1</formula2>
    </dataValidation>
    <dataValidation type="decimal" errorStyle="information" allowBlank="1" showErrorMessage="1" errorTitle="Ｍａｎｕａｌ　Ｉｎｐｕｔ　ｏｆ　Ｐｏｗｅｒ　ｆａｃｔｏｒ" error="Ｐｌｅａｓｅ　ｉｎｐｕｔ　ｔｈｅ　ｎｕｍｅｒｉｃａｌ　ｖａｌｕｅ_x000a_ｂｅｔｗｅｅｎ　ａｓ　ｆｏｌｌｏｗ ： -100～100（％）" sqref="S10:S53">
      <formula1>-100</formula1>
      <formula2>100</formula2>
    </dataValidation>
    <dataValidation type="decimal" errorStyle="information" allowBlank="1" showErrorMessage="1" errorTitle="Ｍａｎｕａｌ　 Ｉｎｐｕｔ　ｏｆ　ＩＭ’ｓ　Ｅｆｆｉｃｉｅｎｃｙ" error="Ｐｌｅａｓｅ　ｉｎｐｕｔ　ｔｈｅ　ｎｕｍｅｒｉｃａｌ　ｖａｌｕｅ_x000a_ｂｅｔｗｅｅｎ　ａｓ　ｆｏｌｌｏｗ ： 1～100（％）" sqref="R10:R53">
      <formula1>1</formula1>
      <formula2>100</formula2>
    </dataValidation>
    <dataValidation type="list" allowBlank="1" sqref="L5">
      <formula1>"屋外,屋内,盤内"</formula1>
    </dataValidation>
    <dataValidation type="list" allowBlank="1" sqref="I2">
      <formula1>"50,60"</formula1>
    </dataValidation>
    <dataValidation type="list" allowBlank="1" sqref="H2">
      <formula1>"3φ3W,1φ3W,1φ2W,3φ4W"</formula1>
    </dataValidation>
  </dataValidations>
  <pageMargins left="0.55118110236220474" right="0.51181102362204722" top="0.98425196850393704" bottom="0.47244094488188981" header="0" footer="0"/>
  <pageSetup paperSize="9" scale="85" orientation="landscape" r:id="rId1"/>
  <headerFooter alignWithMargins="0">
    <oddFooter>&amp;L&amp;"ＭＳ Ｐ明朝,太字"&amp;10&amp;D&amp; 　Health and Environment Research Center　  LOAD LIST  &amp;P／&amp;N</oddFooter>
  </headerFooter>
  <rowBreaks count="1" manualBreakCount="1">
    <brk id="1" min="1" max="27"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9"/>
  <sheetViews>
    <sheetView view="pageBreakPreview" zoomScaleNormal="100" zoomScaleSheetLayoutView="100" workbookViewId="0"/>
  </sheetViews>
  <sheetFormatPr defaultRowHeight="13.5" x14ac:dyDescent="0.15"/>
  <cols>
    <col min="1" max="1" width="1.875" style="209" customWidth="1"/>
    <col min="2" max="2" width="5.625" style="209" customWidth="1"/>
    <col min="3" max="3" width="7.5" style="209" customWidth="1"/>
    <col min="4" max="5" width="6.25" style="209" customWidth="1"/>
    <col min="6" max="6" width="1.875" style="209" customWidth="1"/>
    <col min="7" max="13" width="6.25" style="209" customWidth="1"/>
    <col min="14" max="14" width="5.625" style="209" customWidth="1"/>
    <col min="15" max="15" width="7.5" style="209" customWidth="1"/>
    <col min="16" max="17" width="6.25" style="209" customWidth="1"/>
    <col min="18" max="18" width="1.875" style="209" customWidth="1"/>
    <col min="19" max="24" width="6.25" style="209" customWidth="1"/>
    <col min="25" max="25" width="1.875" style="209" customWidth="1"/>
    <col min="26" max="16384" width="9" style="209"/>
  </cols>
  <sheetData>
    <row r="1" spans="1:25" ht="15" customHeight="1" x14ac:dyDescent="0.15">
      <c r="A1" s="208"/>
      <c r="B1" s="208"/>
      <c r="C1" s="208"/>
      <c r="D1" s="208"/>
      <c r="E1" s="208"/>
      <c r="F1" s="208"/>
      <c r="G1" s="208"/>
      <c r="H1" s="208"/>
      <c r="I1" s="208"/>
      <c r="J1" s="208"/>
      <c r="K1" s="208"/>
      <c r="L1" s="208"/>
      <c r="M1" s="208"/>
      <c r="N1" s="208"/>
      <c r="O1" s="208"/>
      <c r="P1" s="208"/>
      <c r="Q1" s="208"/>
      <c r="R1" s="208"/>
      <c r="S1" s="208"/>
      <c r="T1" s="208"/>
      <c r="U1" s="208"/>
      <c r="V1" s="208"/>
      <c r="W1" s="208"/>
      <c r="X1" s="208"/>
      <c r="Y1" s="208"/>
    </row>
    <row r="2" spans="1:25" ht="15" customHeight="1" x14ac:dyDescent="0.15">
      <c r="A2" s="208"/>
      <c r="B2" s="210" t="s">
        <v>153</v>
      </c>
      <c r="C2" s="211"/>
      <c r="D2" s="211"/>
      <c r="E2" s="211"/>
      <c r="F2" s="211"/>
      <c r="G2" s="211"/>
      <c r="H2" s="211"/>
      <c r="I2" s="211"/>
      <c r="J2" s="211"/>
      <c r="K2" s="211"/>
      <c r="L2" s="211"/>
      <c r="M2" s="211"/>
      <c r="N2" s="211"/>
      <c r="O2" s="211"/>
      <c r="P2" s="211"/>
      <c r="Q2" s="211"/>
      <c r="R2" s="208"/>
      <c r="S2" s="208"/>
      <c r="T2" s="208"/>
      <c r="U2" s="208"/>
      <c r="V2" s="208"/>
      <c r="W2" s="208"/>
      <c r="X2" s="208"/>
      <c r="Y2" s="208"/>
    </row>
    <row r="3" spans="1:25" ht="15" customHeight="1" x14ac:dyDescent="0.15">
      <c r="A3" s="208"/>
      <c r="B3" s="212" t="s">
        <v>154</v>
      </c>
      <c r="C3" s="211"/>
      <c r="D3" s="211"/>
      <c r="E3" s="211"/>
      <c r="F3" s="211"/>
      <c r="G3" s="211"/>
      <c r="H3" s="211"/>
      <c r="I3" s="211"/>
      <c r="J3" s="211"/>
      <c r="K3" s="211"/>
      <c r="L3" s="211"/>
      <c r="M3" s="211"/>
      <c r="N3" s="211"/>
      <c r="O3" s="211"/>
      <c r="P3" s="211"/>
      <c r="Q3" s="211"/>
      <c r="R3" s="208"/>
      <c r="S3" s="208"/>
      <c r="T3" s="208"/>
      <c r="U3" s="208"/>
      <c r="V3" s="208"/>
      <c r="W3" s="208"/>
      <c r="X3" s="208"/>
      <c r="Y3" s="208"/>
    </row>
    <row r="4" spans="1:25" ht="15" customHeight="1" x14ac:dyDescent="0.15">
      <c r="A4" s="208"/>
      <c r="B4" s="208"/>
      <c r="C4" s="208"/>
      <c r="D4" s="208"/>
      <c r="E4" s="208"/>
      <c r="F4" s="208"/>
      <c r="G4" s="208"/>
      <c r="H4" s="208"/>
      <c r="I4" s="208"/>
      <c r="J4" s="208"/>
      <c r="K4" s="208"/>
      <c r="L4" s="208"/>
      <c r="M4" s="208"/>
      <c r="N4" s="208"/>
      <c r="O4" s="208"/>
      <c r="P4" s="208"/>
      <c r="Q4" s="208"/>
      <c r="R4" s="208"/>
      <c r="S4" s="208"/>
      <c r="T4" s="208"/>
      <c r="U4" s="208"/>
      <c r="V4" s="208"/>
      <c r="W4" s="208"/>
      <c r="X4" s="208"/>
      <c r="Y4" s="208"/>
    </row>
    <row r="5" spans="1:25" ht="15" customHeight="1" x14ac:dyDescent="0.15">
      <c r="A5" s="208"/>
      <c r="B5" s="208"/>
      <c r="C5" s="208"/>
      <c r="D5" s="208"/>
      <c r="E5" s="208"/>
      <c r="F5" s="208"/>
      <c r="G5" s="208"/>
      <c r="H5" s="208"/>
      <c r="I5" s="208"/>
      <c r="J5" s="208"/>
      <c r="K5" s="208"/>
      <c r="L5" s="208"/>
      <c r="M5" s="208"/>
      <c r="N5" s="208"/>
      <c r="O5" s="208"/>
      <c r="P5" s="904" t="s">
        <v>155</v>
      </c>
      <c r="Q5" s="904"/>
      <c r="R5" s="904"/>
      <c r="S5" s="213">
        <f>誤差比較!L22</f>
        <v>10</v>
      </c>
      <c r="T5" s="208"/>
      <c r="U5" s="208"/>
      <c r="V5" s="208"/>
      <c r="W5" s="208"/>
      <c r="X5" s="208"/>
      <c r="Y5" s="208"/>
    </row>
    <row r="6" spans="1:25" ht="15" customHeight="1" x14ac:dyDescent="0.15">
      <c r="A6" s="208"/>
      <c r="B6" s="208"/>
      <c r="C6" s="208"/>
      <c r="D6" s="208"/>
      <c r="E6" s="208"/>
      <c r="F6" s="208"/>
      <c r="G6" s="208"/>
      <c r="H6" s="208"/>
      <c r="I6" s="208"/>
      <c r="J6" s="208"/>
      <c r="K6" s="208"/>
      <c r="L6" s="208"/>
      <c r="M6" s="208"/>
      <c r="N6" s="208"/>
      <c r="O6" s="208"/>
      <c r="P6" s="208"/>
      <c r="Q6" s="208"/>
      <c r="R6" s="208"/>
      <c r="S6" s="208"/>
      <c r="T6" s="208"/>
      <c r="U6" s="208"/>
      <c r="V6" s="208"/>
      <c r="W6" s="208"/>
      <c r="X6" s="208"/>
      <c r="Y6" s="208"/>
    </row>
    <row r="7" spans="1:25" x14ac:dyDescent="0.15">
      <c r="A7" s="208"/>
      <c r="B7" s="905" t="s">
        <v>156</v>
      </c>
      <c r="C7" s="906"/>
      <c r="D7" s="208"/>
      <c r="E7" s="208"/>
      <c r="F7" s="208"/>
      <c r="G7" s="907" t="s">
        <v>157</v>
      </c>
      <c r="H7" s="908"/>
      <c r="I7" s="908"/>
      <c r="J7" s="909"/>
      <c r="K7" s="909"/>
      <c r="L7" s="910"/>
      <c r="M7" s="208"/>
      <c r="N7" s="905" t="s">
        <v>158</v>
      </c>
      <c r="O7" s="906"/>
      <c r="P7" s="208"/>
      <c r="Q7" s="208"/>
      <c r="R7" s="208"/>
      <c r="S7" s="907" t="s">
        <v>159</v>
      </c>
      <c r="T7" s="908"/>
      <c r="U7" s="908"/>
      <c r="V7" s="909"/>
      <c r="W7" s="909"/>
      <c r="X7" s="910"/>
      <c r="Y7" s="208"/>
    </row>
    <row r="8" spans="1:25" x14ac:dyDescent="0.15">
      <c r="A8" s="208"/>
      <c r="B8" s="214" t="s">
        <v>160</v>
      </c>
      <c r="C8" s="898" t="s">
        <v>144</v>
      </c>
      <c r="D8" s="900" t="s">
        <v>161</v>
      </c>
      <c r="E8" s="900" t="s">
        <v>162</v>
      </c>
      <c r="F8" s="208"/>
      <c r="G8" s="902" t="s">
        <v>163</v>
      </c>
      <c r="H8" s="903"/>
      <c r="I8" s="902" t="s">
        <v>164</v>
      </c>
      <c r="J8" s="903"/>
      <c r="K8" s="902" t="s">
        <v>165</v>
      </c>
      <c r="L8" s="903"/>
      <c r="M8" s="208"/>
      <c r="N8" s="214" t="s">
        <v>160</v>
      </c>
      <c r="O8" s="898" t="s">
        <v>144</v>
      </c>
      <c r="P8" s="900" t="s">
        <v>161</v>
      </c>
      <c r="Q8" s="900" t="s">
        <v>162</v>
      </c>
      <c r="R8" s="208"/>
      <c r="S8" s="902" t="s">
        <v>163</v>
      </c>
      <c r="T8" s="903"/>
      <c r="U8" s="902" t="s">
        <v>164</v>
      </c>
      <c r="V8" s="903"/>
      <c r="W8" s="902" t="s">
        <v>165</v>
      </c>
      <c r="X8" s="903"/>
      <c r="Y8" s="208"/>
    </row>
    <row r="9" spans="1:25" x14ac:dyDescent="0.15">
      <c r="A9" s="208"/>
      <c r="B9" s="215" t="s">
        <v>166</v>
      </c>
      <c r="C9" s="899"/>
      <c r="D9" s="901"/>
      <c r="E9" s="901"/>
      <c r="F9" s="208"/>
      <c r="G9" s="216" t="s">
        <v>161</v>
      </c>
      <c r="H9" s="216" t="s">
        <v>162</v>
      </c>
      <c r="I9" s="216" t="s">
        <v>161</v>
      </c>
      <c r="J9" s="216" t="s">
        <v>162</v>
      </c>
      <c r="K9" s="216" t="s">
        <v>161</v>
      </c>
      <c r="L9" s="216" t="s">
        <v>162</v>
      </c>
      <c r="M9" s="208"/>
      <c r="N9" s="215" t="s">
        <v>166</v>
      </c>
      <c r="O9" s="899"/>
      <c r="P9" s="901"/>
      <c r="Q9" s="901"/>
      <c r="R9" s="208"/>
      <c r="S9" s="216" t="s">
        <v>161</v>
      </c>
      <c r="T9" s="216" t="s">
        <v>162</v>
      </c>
      <c r="U9" s="216" t="s">
        <v>161</v>
      </c>
      <c r="V9" s="216" t="s">
        <v>162</v>
      </c>
      <c r="W9" s="216" t="s">
        <v>161</v>
      </c>
      <c r="X9" s="216" t="s">
        <v>162</v>
      </c>
      <c r="Y9" s="208"/>
    </row>
    <row r="10" spans="1:25" x14ac:dyDescent="0.15">
      <c r="A10" s="208"/>
      <c r="B10" s="217">
        <v>0.15</v>
      </c>
      <c r="C10" s="218"/>
      <c r="D10" s="218"/>
      <c r="E10" s="218"/>
      <c r="F10" s="208"/>
      <c r="G10" s="219"/>
      <c r="H10" s="219"/>
      <c r="I10" s="219"/>
      <c r="J10" s="219"/>
      <c r="K10" s="219"/>
      <c r="L10" s="219"/>
      <c r="M10" s="208"/>
      <c r="N10" s="217">
        <v>0.15</v>
      </c>
      <c r="O10" s="218"/>
      <c r="P10" s="220"/>
      <c r="Q10" s="220"/>
      <c r="R10" s="208"/>
      <c r="S10" s="219"/>
      <c r="T10" s="219"/>
      <c r="U10" s="219"/>
      <c r="V10" s="219"/>
      <c r="W10" s="219"/>
      <c r="X10" s="219"/>
      <c r="Y10" s="208"/>
    </row>
    <row r="11" spans="1:25" x14ac:dyDescent="0.15">
      <c r="A11" s="208"/>
      <c r="B11" s="217">
        <v>0.2</v>
      </c>
      <c r="C11" s="221">
        <f>IF(OR(B10="",B11=""),"",100*(B10+B11)/(2*(1+0.01*$S$5)*B11))</f>
        <v>79.545454545454533</v>
      </c>
      <c r="D11" s="221">
        <f t="shared" ref="D11:D32" si="0">IF(C11="","",IF(C11&gt;=75,I11+0.04*(K11-I11)*(C11-75),IF(C11&gt;50,G11+0.04*(I11-G11)*(C11-50),"")))</f>
        <v>71.954545454545453</v>
      </c>
      <c r="E11" s="221">
        <f>IF(C11="","",IF(C11&gt;=75,J11+0.04*(L11-J11)*(C11-75),IF(C11&gt;50,H11+0.04*(J11-H11)*(C11-50),"")))</f>
        <v>65.018181818181816</v>
      </c>
      <c r="F11" s="208"/>
      <c r="G11" s="219">
        <v>68.099999999999994</v>
      </c>
      <c r="H11" s="219">
        <v>50.8</v>
      </c>
      <c r="I11" s="219">
        <v>71.900000000000006</v>
      </c>
      <c r="J11" s="219">
        <v>63.4</v>
      </c>
      <c r="K11" s="219">
        <v>72.2</v>
      </c>
      <c r="L11" s="219">
        <v>72.3</v>
      </c>
      <c r="M11" s="208"/>
      <c r="N11" s="217">
        <v>0.2</v>
      </c>
      <c r="O11" s="221">
        <f>IF(OR(N10="",N11=""),"",100*(N10+N11)/(2*(1+0.01*$S$5)*N11))</f>
        <v>79.545454545454533</v>
      </c>
      <c r="P11" s="221">
        <f>IF(O11="","",IF(O11&gt;=75,U11+0.04*(W11-U11)*(O11-75),IF(O11&gt;50,S11+0.04*(U11-S11)*(O11-50),"")))</f>
        <v>75.090909090909093</v>
      </c>
      <c r="Q11" s="221">
        <f>IF(O11="","",IF(O11&gt;=75,V11+0.04*(X11-V11)*(O11-75),IF(O11&gt;50,T11+0.04*(V11-T11)*(O11-50),"")))</f>
        <v>64.627272727272725</v>
      </c>
      <c r="R11" s="208"/>
      <c r="S11" s="219">
        <v>71.099999999999994</v>
      </c>
      <c r="T11" s="219">
        <v>51.2</v>
      </c>
      <c r="U11" s="219">
        <v>75</v>
      </c>
      <c r="V11" s="219">
        <v>63.1</v>
      </c>
      <c r="W11" s="219">
        <v>75.5</v>
      </c>
      <c r="X11" s="219">
        <v>71.5</v>
      </c>
      <c r="Y11" s="208"/>
    </row>
    <row r="12" spans="1:25" x14ac:dyDescent="0.15">
      <c r="A12" s="208"/>
      <c r="B12" s="217">
        <v>0.4</v>
      </c>
      <c r="C12" s="221">
        <f t="shared" ref="C12:C32" si="1">IF(OR(B11="",B12=""),"",100*(B11+B12)/(2*(1+0.01*$S$5)*B12))</f>
        <v>68.181818181818187</v>
      </c>
      <c r="D12" s="221">
        <f t="shared" si="0"/>
        <v>75.981818181818184</v>
      </c>
      <c r="E12" s="221">
        <f t="shared" ref="E12:E32" si="2">IF(C12="","",IF(C12&gt;=75,J12+0.04*(L12-J12)*(C12-75),IF(C12&gt;50,H12+0.04*(J12-H12)*(C12-50),"")))</f>
        <v>65.827272727272728</v>
      </c>
      <c r="F12" s="208"/>
      <c r="G12" s="219">
        <v>74.599999999999994</v>
      </c>
      <c r="H12" s="219">
        <v>57.1</v>
      </c>
      <c r="I12" s="219">
        <v>76.5</v>
      </c>
      <c r="J12" s="219">
        <v>69.099999999999994</v>
      </c>
      <c r="K12" s="219">
        <v>76</v>
      </c>
      <c r="L12" s="219">
        <v>77.8</v>
      </c>
      <c r="M12" s="208"/>
      <c r="N12" s="217">
        <v>0.4</v>
      </c>
      <c r="O12" s="221">
        <f t="shared" ref="O12:O32" si="3">IF(OR(N11="",N12=""),"",100*(N11+N12)/(2*(1+0.01*$S$5)*N12))</f>
        <v>68.181818181818187</v>
      </c>
      <c r="P12" s="221">
        <f t="shared" ref="P12:P32" si="4">IF(O12="","",IF(O12&gt;=75,U12+0.04*(W12-U12)*(O12-75),IF(O12&gt;50,S12+0.04*(U12-S12)*(O12-50),"")))</f>
        <v>78.600000000000009</v>
      </c>
      <c r="Q12" s="221">
        <f t="shared" ref="Q12:Q32" si="5">IF(O12="","",IF(O12&gt;=75,V12+0.04*(X12-V12)*(O12-75),IF(O12&gt;50,T12+0.04*(V12-T12)*(O12-50),"")))</f>
        <v>66.509090909090915</v>
      </c>
      <c r="R12" s="208"/>
      <c r="S12" s="219">
        <v>77</v>
      </c>
      <c r="T12" s="219">
        <v>58</v>
      </c>
      <c r="U12" s="219">
        <v>79.2</v>
      </c>
      <c r="V12" s="219">
        <v>69.7</v>
      </c>
      <c r="W12" s="219">
        <v>78.8</v>
      </c>
      <c r="X12" s="219">
        <v>77.2</v>
      </c>
      <c r="Y12" s="208"/>
    </row>
    <row r="13" spans="1:25" x14ac:dyDescent="0.15">
      <c r="A13" s="208"/>
      <c r="B13" s="217">
        <v>0.75</v>
      </c>
      <c r="C13" s="221">
        <f t="shared" si="1"/>
        <v>69.696969696969688</v>
      </c>
      <c r="D13" s="221">
        <f t="shared" si="0"/>
        <v>80.490909090909085</v>
      </c>
      <c r="E13" s="221">
        <f t="shared" si="2"/>
        <v>65.406060606060592</v>
      </c>
      <c r="F13" s="208"/>
      <c r="G13" s="219">
        <v>78.599999999999994</v>
      </c>
      <c r="H13" s="219">
        <v>55.4</v>
      </c>
      <c r="I13" s="219">
        <v>81</v>
      </c>
      <c r="J13" s="219">
        <v>68.099999999999994</v>
      </c>
      <c r="K13" s="219">
        <v>80.5</v>
      </c>
      <c r="L13" s="219">
        <v>76</v>
      </c>
      <c r="M13" s="208"/>
      <c r="N13" s="217">
        <v>0.75</v>
      </c>
      <c r="O13" s="221">
        <f t="shared" si="3"/>
        <v>69.696969696969688</v>
      </c>
      <c r="P13" s="221">
        <f t="shared" si="4"/>
        <v>83.212121212121218</v>
      </c>
      <c r="Q13" s="221">
        <f t="shared" si="5"/>
        <v>66.269696969696966</v>
      </c>
      <c r="R13" s="208"/>
      <c r="S13" s="219">
        <v>81.400000000000006</v>
      </c>
      <c r="T13" s="219">
        <v>56.5</v>
      </c>
      <c r="U13" s="219">
        <v>83.7</v>
      </c>
      <c r="V13" s="219">
        <v>68.900000000000006</v>
      </c>
      <c r="W13" s="219">
        <v>83.3</v>
      </c>
      <c r="X13" s="219">
        <v>76.2</v>
      </c>
      <c r="Y13" s="208"/>
    </row>
    <row r="14" spans="1:25" x14ac:dyDescent="0.15">
      <c r="A14" s="208"/>
      <c r="B14" s="217">
        <v>1.5</v>
      </c>
      <c r="C14" s="221">
        <f t="shared" si="1"/>
        <v>68.181818181818173</v>
      </c>
      <c r="D14" s="221">
        <f t="shared" si="0"/>
        <v>82.372727272727275</v>
      </c>
      <c r="E14" s="221">
        <f t="shared" si="2"/>
        <v>63.590909090909086</v>
      </c>
      <c r="F14" s="208"/>
      <c r="G14" s="219">
        <v>80.7</v>
      </c>
      <c r="H14" s="219">
        <v>54.5</v>
      </c>
      <c r="I14" s="219">
        <v>83</v>
      </c>
      <c r="J14" s="219">
        <v>67</v>
      </c>
      <c r="K14" s="219">
        <v>83.1</v>
      </c>
      <c r="L14" s="219">
        <v>75.099999999999994</v>
      </c>
      <c r="M14" s="208"/>
      <c r="N14" s="217">
        <v>1.5</v>
      </c>
      <c r="O14" s="221">
        <f t="shared" si="3"/>
        <v>68.181818181818173</v>
      </c>
      <c r="P14" s="221">
        <f t="shared" si="4"/>
        <v>85.181818181818187</v>
      </c>
      <c r="Q14" s="221">
        <f t="shared" si="5"/>
        <v>57.209090909090911</v>
      </c>
      <c r="R14" s="208"/>
      <c r="S14" s="219">
        <v>83.8</v>
      </c>
      <c r="T14" s="219">
        <v>55.1</v>
      </c>
      <c r="U14" s="219">
        <v>85.7</v>
      </c>
      <c r="V14" s="219">
        <v>58</v>
      </c>
      <c r="W14" s="219">
        <v>85.8</v>
      </c>
      <c r="X14" s="219">
        <v>75.900000000000006</v>
      </c>
      <c r="Y14" s="208"/>
    </row>
    <row r="15" spans="1:25" x14ac:dyDescent="0.15">
      <c r="A15" s="208"/>
      <c r="B15" s="217">
        <v>2.2000000000000002</v>
      </c>
      <c r="C15" s="221">
        <f t="shared" si="1"/>
        <v>76.44628099173552</v>
      </c>
      <c r="D15" s="221">
        <f t="shared" si="0"/>
        <v>86.665289256198349</v>
      </c>
      <c r="E15" s="221">
        <f t="shared" si="2"/>
        <v>72.199173553719007</v>
      </c>
      <c r="F15" s="208"/>
      <c r="G15" s="219">
        <v>85.4</v>
      </c>
      <c r="H15" s="219">
        <v>59.6</v>
      </c>
      <c r="I15" s="219">
        <v>86.7</v>
      </c>
      <c r="J15" s="219">
        <v>71.8</v>
      </c>
      <c r="K15" s="219">
        <v>86.1</v>
      </c>
      <c r="L15" s="219">
        <v>78.7</v>
      </c>
      <c r="M15" s="208"/>
      <c r="N15" s="217">
        <v>2.2000000000000002</v>
      </c>
      <c r="O15" s="221">
        <f t="shared" si="3"/>
        <v>76.44628099173552</v>
      </c>
      <c r="P15" s="221">
        <f t="shared" si="4"/>
        <v>88.59421487603305</v>
      </c>
      <c r="Q15" s="221">
        <f t="shared" si="5"/>
        <v>73.181818181818173</v>
      </c>
      <c r="R15" s="208"/>
      <c r="S15" s="219">
        <v>87.4</v>
      </c>
      <c r="T15" s="219">
        <v>61</v>
      </c>
      <c r="U15" s="219">
        <v>88.6</v>
      </c>
      <c r="V15" s="219">
        <v>72.8</v>
      </c>
      <c r="W15" s="219">
        <v>88.5</v>
      </c>
      <c r="X15" s="219">
        <v>79.400000000000006</v>
      </c>
      <c r="Y15" s="208"/>
    </row>
    <row r="16" spans="1:25" x14ac:dyDescent="0.15">
      <c r="A16" s="208"/>
      <c r="B16" s="217">
        <v>3.7</v>
      </c>
      <c r="C16" s="221">
        <f t="shared" si="1"/>
        <v>72.481572481572471</v>
      </c>
      <c r="D16" s="221">
        <f t="shared" si="0"/>
        <v>87.039557739557736</v>
      </c>
      <c r="E16" s="221">
        <f t="shared" si="2"/>
        <v>72.491154791154784</v>
      </c>
      <c r="F16" s="208"/>
      <c r="G16" s="219">
        <v>86.5</v>
      </c>
      <c r="H16" s="219">
        <v>61.7</v>
      </c>
      <c r="I16" s="219">
        <v>87.1</v>
      </c>
      <c r="J16" s="219">
        <v>73.7</v>
      </c>
      <c r="K16" s="219">
        <v>86.3</v>
      </c>
      <c r="L16" s="219">
        <v>80.400000000000006</v>
      </c>
      <c r="M16" s="208"/>
      <c r="N16" s="217">
        <v>3.7</v>
      </c>
      <c r="O16" s="221">
        <f t="shared" si="3"/>
        <v>72.481572481572471</v>
      </c>
      <c r="P16" s="221">
        <f t="shared" si="4"/>
        <v>88.409336609336606</v>
      </c>
      <c r="Q16" s="221">
        <f t="shared" si="5"/>
        <v>73.02137592137592</v>
      </c>
      <c r="R16" s="208"/>
      <c r="S16" s="219">
        <v>87.6</v>
      </c>
      <c r="T16" s="219">
        <v>62.5</v>
      </c>
      <c r="U16" s="219">
        <v>88.5</v>
      </c>
      <c r="V16" s="219">
        <v>74.2</v>
      </c>
      <c r="W16" s="219">
        <v>88.1</v>
      </c>
      <c r="X16" s="219">
        <v>80.599999999999994</v>
      </c>
      <c r="Y16" s="208"/>
    </row>
    <row r="17" spans="1:25" x14ac:dyDescent="0.15">
      <c r="A17" s="208"/>
      <c r="B17" s="217">
        <v>5.5</v>
      </c>
      <c r="C17" s="221">
        <f t="shared" si="1"/>
        <v>76.033057851239647</v>
      </c>
      <c r="D17" s="221">
        <f t="shared" si="0"/>
        <v>89.283471074380159</v>
      </c>
      <c r="E17" s="221">
        <f t="shared" si="2"/>
        <v>75.880991735537179</v>
      </c>
      <c r="F17" s="208"/>
      <c r="G17" s="219">
        <v>88.3</v>
      </c>
      <c r="H17" s="219">
        <v>63.4</v>
      </c>
      <c r="I17" s="219">
        <v>89.3</v>
      </c>
      <c r="J17" s="219">
        <v>75.599999999999994</v>
      </c>
      <c r="K17" s="219">
        <v>88.9</v>
      </c>
      <c r="L17" s="219">
        <v>82.4</v>
      </c>
      <c r="M17" s="208"/>
      <c r="N17" s="217">
        <v>5.5</v>
      </c>
      <c r="O17" s="221">
        <f t="shared" si="3"/>
        <v>76.033057851239647</v>
      </c>
      <c r="P17" s="221">
        <f t="shared" si="4"/>
        <v>90.195867768595051</v>
      </c>
      <c r="Q17" s="221">
        <f t="shared" si="5"/>
        <v>77.631404958677692</v>
      </c>
      <c r="R17" s="208"/>
      <c r="S17" s="219">
        <v>89</v>
      </c>
      <c r="T17" s="219">
        <v>66.099999999999994</v>
      </c>
      <c r="U17" s="219">
        <v>90.2</v>
      </c>
      <c r="V17" s="219">
        <v>77.400000000000006</v>
      </c>
      <c r="W17" s="219">
        <v>90.1</v>
      </c>
      <c r="X17" s="219">
        <v>83</v>
      </c>
      <c r="Y17" s="208"/>
    </row>
    <row r="18" spans="1:25" x14ac:dyDescent="0.15">
      <c r="A18" s="208"/>
      <c r="B18" s="217">
        <v>7.5</v>
      </c>
      <c r="C18" s="221">
        <f t="shared" si="1"/>
        <v>78.787878787878782</v>
      </c>
      <c r="D18" s="221">
        <f t="shared" si="0"/>
        <v>89.424242424242422</v>
      </c>
      <c r="E18" s="221">
        <f t="shared" si="2"/>
        <v>78.393939393939391</v>
      </c>
      <c r="F18" s="208"/>
      <c r="G18" s="219">
        <v>88.8</v>
      </c>
      <c r="H18" s="219">
        <v>65.3</v>
      </c>
      <c r="I18" s="219">
        <v>89.5</v>
      </c>
      <c r="J18" s="219">
        <v>77.5</v>
      </c>
      <c r="K18" s="219">
        <v>89</v>
      </c>
      <c r="L18" s="219">
        <v>83.4</v>
      </c>
      <c r="M18" s="208"/>
      <c r="N18" s="217">
        <v>7.5</v>
      </c>
      <c r="O18" s="221">
        <f t="shared" si="3"/>
        <v>78.787878787878782</v>
      </c>
      <c r="P18" s="221">
        <f t="shared" si="4"/>
        <v>90.454545454545453</v>
      </c>
      <c r="Q18" s="221">
        <f t="shared" si="5"/>
        <v>79.372727272727261</v>
      </c>
      <c r="R18" s="208"/>
      <c r="S18" s="219">
        <v>89.6</v>
      </c>
      <c r="T18" s="219">
        <v>67.5</v>
      </c>
      <c r="U18" s="219">
        <v>90.5</v>
      </c>
      <c r="V18" s="219">
        <v>78.599999999999994</v>
      </c>
      <c r="W18" s="219">
        <v>90.2</v>
      </c>
      <c r="X18" s="219">
        <v>83.7</v>
      </c>
      <c r="Y18" s="208"/>
    </row>
    <row r="19" spans="1:25" x14ac:dyDescent="0.15">
      <c r="A19" s="208"/>
      <c r="B19" s="217">
        <v>11</v>
      </c>
      <c r="C19" s="221">
        <f t="shared" si="1"/>
        <v>76.446280991735534</v>
      </c>
      <c r="D19" s="221">
        <f t="shared" si="0"/>
        <v>91.876859504132241</v>
      </c>
      <c r="E19" s="221">
        <f t="shared" si="2"/>
        <v>76.458677685950406</v>
      </c>
      <c r="F19" s="208"/>
      <c r="G19" s="219">
        <v>91.3</v>
      </c>
      <c r="H19" s="219">
        <v>64.7</v>
      </c>
      <c r="I19" s="219">
        <v>91.9</v>
      </c>
      <c r="J19" s="219">
        <v>76.099999999999994</v>
      </c>
      <c r="K19" s="219">
        <v>91.5</v>
      </c>
      <c r="L19" s="219">
        <v>82.3</v>
      </c>
      <c r="M19" s="208"/>
      <c r="N19" s="217">
        <v>11</v>
      </c>
      <c r="O19" s="221">
        <f t="shared" si="3"/>
        <v>76.446280991735534</v>
      </c>
      <c r="P19" s="221">
        <f t="shared" si="4"/>
        <v>92.588429752066105</v>
      </c>
      <c r="Q19" s="221">
        <f t="shared" si="5"/>
        <v>77.729752066115708</v>
      </c>
      <c r="R19" s="208"/>
      <c r="S19" s="219">
        <v>92</v>
      </c>
      <c r="T19" s="219">
        <v>67.400000000000006</v>
      </c>
      <c r="U19" s="219">
        <v>92.6</v>
      </c>
      <c r="V19" s="219">
        <v>77.400000000000006</v>
      </c>
      <c r="W19" s="219">
        <v>92.4</v>
      </c>
      <c r="X19" s="219">
        <v>83.1</v>
      </c>
      <c r="Y19" s="208"/>
    </row>
    <row r="20" spans="1:25" x14ac:dyDescent="0.15">
      <c r="A20" s="208"/>
      <c r="B20" s="217">
        <v>15</v>
      </c>
      <c r="C20" s="221">
        <f t="shared" si="1"/>
        <v>78.787878787878782</v>
      </c>
      <c r="D20" s="221">
        <f t="shared" si="0"/>
        <v>92.269696969696966</v>
      </c>
      <c r="E20" s="221">
        <f t="shared" si="2"/>
        <v>78.378787878787875</v>
      </c>
      <c r="F20" s="208"/>
      <c r="G20" s="219">
        <v>91.6</v>
      </c>
      <c r="H20" s="219">
        <v>66.3</v>
      </c>
      <c r="I20" s="219">
        <v>92.3</v>
      </c>
      <c r="J20" s="219">
        <v>77.5</v>
      </c>
      <c r="K20" s="219">
        <v>92.1</v>
      </c>
      <c r="L20" s="219">
        <v>83.3</v>
      </c>
      <c r="M20" s="208"/>
      <c r="N20" s="217">
        <v>15</v>
      </c>
      <c r="O20" s="221">
        <f t="shared" si="3"/>
        <v>78.787878787878782</v>
      </c>
      <c r="P20" s="221">
        <f t="shared" si="4"/>
        <v>92.684848484848487</v>
      </c>
      <c r="Q20" s="221">
        <f t="shared" si="5"/>
        <v>80.11212121212121</v>
      </c>
      <c r="R20" s="208"/>
      <c r="S20" s="219">
        <v>91.8</v>
      </c>
      <c r="T20" s="219">
        <v>68.400000000000006</v>
      </c>
      <c r="U20" s="219">
        <v>92.7</v>
      </c>
      <c r="V20" s="219">
        <v>79.400000000000006</v>
      </c>
      <c r="W20" s="219">
        <v>92.6</v>
      </c>
      <c r="X20" s="219">
        <v>84.1</v>
      </c>
      <c r="Y20" s="208"/>
    </row>
    <row r="21" spans="1:25" x14ac:dyDescent="0.15">
      <c r="A21" s="208"/>
      <c r="B21" s="217">
        <v>18.5</v>
      </c>
      <c r="C21" s="221">
        <f t="shared" si="1"/>
        <v>82.309582309582311</v>
      </c>
      <c r="D21" s="221">
        <f t="shared" si="0"/>
        <v>92.8</v>
      </c>
      <c r="E21" s="221">
        <f t="shared" si="2"/>
        <v>78.125061425061432</v>
      </c>
      <c r="F21" s="208"/>
      <c r="G21" s="219">
        <v>91.9</v>
      </c>
      <c r="H21" s="219">
        <v>64.5</v>
      </c>
      <c r="I21" s="219">
        <v>92.8</v>
      </c>
      <c r="J21" s="219">
        <v>76.400000000000006</v>
      </c>
      <c r="K21" s="219">
        <v>92.8</v>
      </c>
      <c r="L21" s="219">
        <v>82.3</v>
      </c>
      <c r="M21" s="208"/>
      <c r="N21" s="217">
        <v>18.5</v>
      </c>
      <c r="O21" s="221">
        <f t="shared" si="3"/>
        <v>82.309582309582311</v>
      </c>
      <c r="P21" s="221">
        <f t="shared" si="4"/>
        <v>93.229238329238328</v>
      </c>
      <c r="Q21" s="221">
        <f t="shared" si="5"/>
        <v>80.078869778869787</v>
      </c>
      <c r="R21" s="208"/>
      <c r="S21" s="219">
        <v>92.3</v>
      </c>
      <c r="T21" s="219">
        <v>67.7</v>
      </c>
      <c r="U21" s="219">
        <v>93.2</v>
      </c>
      <c r="V21" s="219">
        <v>78.5</v>
      </c>
      <c r="W21" s="219">
        <v>93.3</v>
      </c>
      <c r="X21" s="219">
        <v>83.9</v>
      </c>
      <c r="Y21" s="208"/>
    </row>
    <row r="22" spans="1:25" x14ac:dyDescent="0.15">
      <c r="A22" s="208"/>
      <c r="B22" s="217">
        <v>22</v>
      </c>
      <c r="C22" s="221">
        <f t="shared" si="1"/>
        <v>83.677685950413206</v>
      </c>
      <c r="D22" s="221">
        <f t="shared" si="0"/>
        <v>93.061157024793388</v>
      </c>
      <c r="E22" s="221">
        <f t="shared" si="2"/>
        <v>81.596694214876024</v>
      </c>
      <c r="F22" s="208"/>
      <c r="G22" s="219">
        <v>92.7</v>
      </c>
      <c r="H22" s="219">
        <v>69.099999999999994</v>
      </c>
      <c r="I22" s="219">
        <v>93.2</v>
      </c>
      <c r="J22" s="219">
        <v>80</v>
      </c>
      <c r="K22" s="219">
        <v>92.8</v>
      </c>
      <c r="L22" s="219">
        <v>84.6</v>
      </c>
      <c r="M22" s="208"/>
      <c r="N22" s="217">
        <v>22</v>
      </c>
      <c r="O22" s="221">
        <f t="shared" si="3"/>
        <v>83.677685950413206</v>
      </c>
      <c r="P22" s="221">
        <f t="shared" si="4"/>
        <v>93.530578512396687</v>
      </c>
      <c r="Q22" s="221">
        <f t="shared" si="5"/>
        <v>82.65371900826446</v>
      </c>
      <c r="R22" s="208"/>
      <c r="S22" s="219">
        <v>92.9</v>
      </c>
      <c r="T22" s="219">
        <v>71.8</v>
      </c>
      <c r="U22" s="219">
        <v>93.6</v>
      </c>
      <c r="V22" s="219">
        <v>81.3</v>
      </c>
      <c r="W22" s="219">
        <v>93.4</v>
      </c>
      <c r="X22" s="219">
        <v>85.2</v>
      </c>
      <c r="Y22" s="208"/>
    </row>
    <row r="23" spans="1:25" x14ac:dyDescent="0.15">
      <c r="A23" s="208"/>
      <c r="B23" s="217">
        <v>30</v>
      </c>
      <c r="C23" s="221">
        <f t="shared" si="1"/>
        <v>78.787878787878782</v>
      </c>
      <c r="D23" s="221">
        <f t="shared" si="0"/>
        <v>92.924242424242422</v>
      </c>
      <c r="E23" s="221">
        <f t="shared" si="2"/>
        <v>80.012121212121215</v>
      </c>
      <c r="F23" s="208"/>
      <c r="G23" s="219">
        <v>92.7</v>
      </c>
      <c r="H23" s="219">
        <v>68.099999999999994</v>
      </c>
      <c r="I23" s="219">
        <v>93</v>
      </c>
      <c r="J23" s="219">
        <v>79.3</v>
      </c>
      <c r="K23" s="219">
        <v>92.5</v>
      </c>
      <c r="L23" s="219">
        <v>84</v>
      </c>
      <c r="M23" s="208"/>
      <c r="N23" s="217">
        <v>30</v>
      </c>
      <c r="O23" s="221">
        <f t="shared" si="3"/>
        <v>78.787878787878782</v>
      </c>
      <c r="P23" s="221">
        <f t="shared" si="4"/>
        <v>93.284848484848482</v>
      </c>
      <c r="Q23" s="221">
        <f t="shared" si="5"/>
        <v>82.236363636363635</v>
      </c>
      <c r="R23" s="208"/>
      <c r="S23" s="219">
        <v>92.6</v>
      </c>
      <c r="T23" s="219">
        <v>72.099999999999994</v>
      </c>
      <c r="U23" s="219">
        <v>93.3</v>
      </c>
      <c r="V23" s="219">
        <v>81.599999999999994</v>
      </c>
      <c r="W23" s="219">
        <v>93.2</v>
      </c>
      <c r="X23" s="219">
        <v>85.8</v>
      </c>
      <c r="Y23" s="208"/>
    </row>
    <row r="24" spans="1:25" x14ac:dyDescent="0.15">
      <c r="A24" s="208"/>
      <c r="B24" s="217">
        <v>37</v>
      </c>
      <c r="C24" s="221">
        <f t="shared" si="1"/>
        <v>82.309582309582311</v>
      </c>
      <c r="D24" s="221">
        <f t="shared" si="0"/>
        <v>93.9953316953317</v>
      </c>
      <c r="E24" s="221">
        <f t="shared" si="2"/>
        <v>85.589434889434884</v>
      </c>
      <c r="F24" s="208"/>
      <c r="G24" s="219">
        <v>93.9</v>
      </c>
      <c r="H24" s="219">
        <v>77.099999999999994</v>
      </c>
      <c r="I24" s="219">
        <v>94.2</v>
      </c>
      <c r="J24" s="219">
        <v>84.8</v>
      </c>
      <c r="K24" s="219">
        <v>93.5</v>
      </c>
      <c r="L24" s="219">
        <v>87.5</v>
      </c>
      <c r="M24" s="208"/>
      <c r="N24" s="217">
        <v>37</v>
      </c>
      <c r="O24" s="221">
        <f>IF(OR(N23="",N24=""),"",100*(N23+N24)/(2*(1+0.01*$S$5)*N24))</f>
        <v>82.309582309582311</v>
      </c>
      <c r="P24" s="221">
        <f t="shared" si="4"/>
        <v>93.653808353808344</v>
      </c>
      <c r="Q24" s="221">
        <f t="shared" si="5"/>
        <v>86.518673218673214</v>
      </c>
      <c r="R24" s="208"/>
      <c r="S24" s="219">
        <v>93.1</v>
      </c>
      <c r="T24" s="219">
        <v>79.099999999999994</v>
      </c>
      <c r="U24" s="219">
        <v>93.8</v>
      </c>
      <c r="V24" s="219">
        <v>85.7</v>
      </c>
      <c r="W24" s="219">
        <v>93.3</v>
      </c>
      <c r="X24" s="219">
        <v>88.5</v>
      </c>
      <c r="Y24" s="208"/>
    </row>
    <row r="25" spans="1:25" x14ac:dyDescent="0.15">
      <c r="A25" s="208"/>
      <c r="B25" s="217">
        <v>45</v>
      </c>
      <c r="C25" s="221">
        <f t="shared" si="1"/>
        <v>82.828282828282823</v>
      </c>
      <c r="D25" s="221">
        <f t="shared" si="0"/>
        <v>92.837373737373738</v>
      </c>
      <c r="E25" s="221">
        <f t="shared" si="2"/>
        <v>82.283838383838386</v>
      </c>
      <c r="F25" s="208"/>
      <c r="G25" s="219">
        <v>92.4</v>
      </c>
      <c r="H25" s="219">
        <v>70.7</v>
      </c>
      <c r="I25" s="219">
        <v>92.9</v>
      </c>
      <c r="J25" s="219">
        <v>81</v>
      </c>
      <c r="K25" s="219">
        <v>92.7</v>
      </c>
      <c r="L25" s="219">
        <v>85.1</v>
      </c>
      <c r="M25" s="208"/>
      <c r="N25" s="217">
        <v>45</v>
      </c>
      <c r="O25" s="221">
        <f>IF(OR(N24="",N25=""),"",100*(N24+N25)/(2*(1+0.01*$S$5)*N25))</f>
        <v>82.828282828282823</v>
      </c>
      <c r="P25" s="221">
        <f>IF(O25="","",IF(O25&gt;=75,U25+0.04*(W25-U25)*(O25-75),IF(O25&gt;50,S25+0.04*(U25-S25)*(O25-50),"")))</f>
        <v>93.706060606060603</v>
      </c>
      <c r="Q25" s="221">
        <f>IF(O25="","",IF(O25&gt;=75,V25+0.04*(X25-V25)*(O25-75),IF(O25&gt;50,T25+0.04*(V25-T25)*(O25-50),"")))</f>
        <v>84.864646464646469</v>
      </c>
      <c r="R25" s="208"/>
      <c r="S25" s="219">
        <v>93.2</v>
      </c>
      <c r="T25" s="219">
        <v>75.5</v>
      </c>
      <c r="U25" s="219">
        <v>93.8</v>
      </c>
      <c r="V25" s="219">
        <v>83.8</v>
      </c>
      <c r="W25" s="219">
        <v>93.5</v>
      </c>
      <c r="X25" s="219">
        <v>87.2</v>
      </c>
      <c r="Y25" s="208"/>
    </row>
    <row r="26" spans="1:25" x14ac:dyDescent="0.15">
      <c r="A26" s="208"/>
      <c r="B26" s="217">
        <v>55</v>
      </c>
      <c r="C26" s="221">
        <f t="shared" si="1"/>
        <v>82.644628099173545</v>
      </c>
      <c r="D26" s="221">
        <f t="shared" si="0"/>
        <v>94.008264462809919</v>
      </c>
      <c r="E26" s="221">
        <f t="shared" si="2"/>
        <v>80.865289256198338</v>
      </c>
      <c r="F26" s="208"/>
      <c r="G26" s="219">
        <v>93.9</v>
      </c>
      <c r="H26" s="219">
        <v>68.400000000000006</v>
      </c>
      <c r="I26" s="219">
        <v>94.1</v>
      </c>
      <c r="J26" s="219">
        <v>79</v>
      </c>
      <c r="K26" s="219">
        <v>93.8</v>
      </c>
      <c r="L26" s="219">
        <v>85.1</v>
      </c>
      <c r="M26" s="208"/>
      <c r="N26" s="217">
        <v>55</v>
      </c>
      <c r="O26" s="221">
        <f t="shared" si="3"/>
        <v>82.644628099173545</v>
      </c>
      <c r="P26" s="221">
        <f>IF(O26="","",IF(O26&gt;=75,U26+0.04*(W26-U26)*(O26-75),IF(O26&gt;50,S26+0.04*(U26-S26)*(O26-50),"")))</f>
        <v>94.538842975206606</v>
      </c>
      <c r="Q26" s="221">
        <f>IF(O26="","",IF(O26&gt;=75,V26+0.04*(X26-V26)*(O26-75),IF(O26&gt;50,T26+0.04*(V26-T26)*(O26-50),"")))</f>
        <v>83.576033057851248</v>
      </c>
      <c r="R26" s="208"/>
      <c r="S26" s="219">
        <v>94.1</v>
      </c>
      <c r="T26" s="219">
        <v>73</v>
      </c>
      <c r="U26" s="219">
        <v>94.6</v>
      </c>
      <c r="V26" s="219">
        <v>82.2</v>
      </c>
      <c r="W26" s="219">
        <v>94.4</v>
      </c>
      <c r="X26" s="219">
        <v>86.7</v>
      </c>
      <c r="Y26" s="208"/>
    </row>
    <row r="27" spans="1:25" x14ac:dyDescent="0.15">
      <c r="A27" s="208"/>
      <c r="B27" s="217"/>
      <c r="C27" s="221" t="str">
        <f t="shared" si="1"/>
        <v/>
      </c>
      <c r="D27" s="221" t="str">
        <f t="shared" si="0"/>
        <v/>
      </c>
      <c r="E27" s="221" t="str">
        <f t="shared" si="2"/>
        <v/>
      </c>
      <c r="F27" s="208"/>
      <c r="G27" s="219"/>
      <c r="H27" s="219"/>
      <c r="I27" s="219"/>
      <c r="J27" s="219"/>
      <c r="K27" s="219"/>
      <c r="L27" s="219"/>
      <c r="M27" s="208"/>
      <c r="N27" s="217"/>
      <c r="O27" s="221" t="str">
        <f>IF(OR(N26="",N27=""),"",100*(N26+N27)/(2*(1+0.01*$S$5)*N27))</f>
        <v/>
      </c>
      <c r="P27" s="221" t="str">
        <f t="shared" si="4"/>
        <v/>
      </c>
      <c r="Q27" s="221" t="str">
        <f t="shared" si="5"/>
        <v/>
      </c>
      <c r="R27" s="208"/>
      <c r="S27" s="219"/>
      <c r="T27" s="219"/>
      <c r="U27" s="219"/>
      <c r="V27" s="219"/>
      <c r="W27" s="219"/>
      <c r="X27" s="219"/>
      <c r="Y27" s="208"/>
    </row>
    <row r="28" spans="1:25" x14ac:dyDescent="0.15">
      <c r="A28" s="208"/>
      <c r="B28" s="217"/>
      <c r="C28" s="221" t="str">
        <f t="shared" si="1"/>
        <v/>
      </c>
      <c r="D28" s="221" t="str">
        <f t="shared" si="0"/>
        <v/>
      </c>
      <c r="E28" s="221" t="str">
        <f t="shared" si="2"/>
        <v/>
      </c>
      <c r="F28" s="208"/>
      <c r="G28" s="219"/>
      <c r="H28" s="219"/>
      <c r="I28" s="219"/>
      <c r="J28" s="219"/>
      <c r="K28" s="219"/>
      <c r="L28" s="219"/>
      <c r="M28" s="208"/>
      <c r="N28" s="217"/>
      <c r="O28" s="221" t="str">
        <f t="shared" si="3"/>
        <v/>
      </c>
      <c r="P28" s="221" t="str">
        <f t="shared" si="4"/>
        <v/>
      </c>
      <c r="Q28" s="221" t="str">
        <f t="shared" si="5"/>
        <v/>
      </c>
      <c r="R28" s="208"/>
      <c r="S28" s="219"/>
      <c r="T28" s="219"/>
      <c r="U28" s="219"/>
      <c r="V28" s="219"/>
      <c r="W28" s="219"/>
      <c r="X28" s="219"/>
      <c r="Y28" s="208"/>
    </row>
    <row r="29" spans="1:25" x14ac:dyDescent="0.15">
      <c r="A29" s="208"/>
      <c r="B29" s="217"/>
      <c r="C29" s="221" t="str">
        <f t="shared" si="1"/>
        <v/>
      </c>
      <c r="D29" s="221" t="str">
        <f t="shared" si="0"/>
        <v/>
      </c>
      <c r="E29" s="221" t="str">
        <f t="shared" si="2"/>
        <v/>
      </c>
      <c r="F29" s="208"/>
      <c r="G29" s="219"/>
      <c r="H29" s="219"/>
      <c r="I29" s="219"/>
      <c r="J29" s="219"/>
      <c r="K29" s="219"/>
      <c r="L29" s="219"/>
      <c r="M29" s="208"/>
      <c r="N29" s="217"/>
      <c r="O29" s="221" t="str">
        <f t="shared" si="3"/>
        <v/>
      </c>
      <c r="P29" s="221" t="str">
        <f t="shared" si="4"/>
        <v/>
      </c>
      <c r="Q29" s="221" t="str">
        <f t="shared" si="5"/>
        <v/>
      </c>
      <c r="R29" s="208"/>
      <c r="S29" s="219"/>
      <c r="T29" s="219"/>
      <c r="U29" s="219"/>
      <c r="V29" s="219"/>
      <c r="W29" s="219"/>
      <c r="X29" s="219"/>
      <c r="Y29" s="208"/>
    </row>
    <row r="30" spans="1:25" x14ac:dyDescent="0.15">
      <c r="A30" s="208"/>
      <c r="B30" s="217"/>
      <c r="C30" s="221" t="str">
        <f t="shared" si="1"/>
        <v/>
      </c>
      <c r="D30" s="221" t="str">
        <f t="shared" si="0"/>
        <v/>
      </c>
      <c r="E30" s="221" t="str">
        <f t="shared" si="2"/>
        <v/>
      </c>
      <c r="F30" s="208"/>
      <c r="G30" s="219"/>
      <c r="H30" s="219"/>
      <c r="I30" s="219"/>
      <c r="J30" s="219"/>
      <c r="K30" s="219"/>
      <c r="L30" s="219"/>
      <c r="M30" s="208"/>
      <c r="N30" s="217"/>
      <c r="O30" s="221" t="str">
        <f t="shared" si="3"/>
        <v/>
      </c>
      <c r="P30" s="221" t="str">
        <f t="shared" si="4"/>
        <v/>
      </c>
      <c r="Q30" s="221" t="str">
        <f t="shared" si="5"/>
        <v/>
      </c>
      <c r="R30" s="208"/>
      <c r="S30" s="219"/>
      <c r="T30" s="219"/>
      <c r="U30" s="219"/>
      <c r="V30" s="219"/>
      <c r="W30" s="219"/>
      <c r="X30" s="219"/>
      <c r="Y30" s="208"/>
    </row>
    <row r="31" spans="1:25" x14ac:dyDescent="0.15">
      <c r="A31" s="208"/>
      <c r="B31" s="217"/>
      <c r="C31" s="221" t="str">
        <f t="shared" si="1"/>
        <v/>
      </c>
      <c r="D31" s="221" t="str">
        <f t="shared" si="0"/>
        <v/>
      </c>
      <c r="E31" s="221" t="str">
        <f t="shared" si="2"/>
        <v/>
      </c>
      <c r="F31" s="208"/>
      <c r="G31" s="219"/>
      <c r="H31" s="219"/>
      <c r="I31" s="219"/>
      <c r="J31" s="219"/>
      <c r="K31" s="219"/>
      <c r="L31" s="219"/>
      <c r="M31" s="208"/>
      <c r="N31" s="217"/>
      <c r="O31" s="221" t="str">
        <f t="shared" si="3"/>
        <v/>
      </c>
      <c r="P31" s="221" t="str">
        <f t="shared" si="4"/>
        <v/>
      </c>
      <c r="Q31" s="221" t="str">
        <f t="shared" si="5"/>
        <v/>
      </c>
      <c r="R31" s="208"/>
      <c r="S31" s="219"/>
      <c r="T31" s="219"/>
      <c r="U31" s="219"/>
      <c r="V31" s="219"/>
      <c r="W31" s="219"/>
      <c r="X31" s="219"/>
      <c r="Y31" s="208"/>
    </row>
    <row r="32" spans="1:25" x14ac:dyDescent="0.15">
      <c r="A32" s="208"/>
      <c r="B32" s="217"/>
      <c r="C32" s="221" t="str">
        <f t="shared" si="1"/>
        <v/>
      </c>
      <c r="D32" s="221" t="str">
        <f t="shared" si="0"/>
        <v/>
      </c>
      <c r="E32" s="221" t="str">
        <f t="shared" si="2"/>
        <v/>
      </c>
      <c r="F32" s="208"/>
      <c r="G32" s="219"/>
      <c r="H32" s="219"/>
      <c r="I32" s="219"/>
      <c r="J32" s="219"/>
      <c r="K32" s="219"/>
      <c r="L32" s="219"/>
      <c r="M32" s="208"/>
      <c r="N32" s="217"/>
      <c r="O32" s="221" t="str">
        <f t="shared" si="3"/>
        <v/>
      </c>
      <c r="P32" s="221" t="str">
        <f t="shared" si="4"/>
        <v/>
      </c>
      <c r="Q32" s="221" t="str">
        <f t="shared" si="5"/>
        <v/>
      </c>
      <c r="R32" s="208"/>
      <c r="S32" s="219"/>
      <c r="T32" s="219"/>
      <c r="U32" s="219"/>
      <c r="V32" s="219"/>
      <c r="W32" s="219"/>
      <c r="X32" s="219"/>
      <c r="Y32" s="208"/>
    </row>
    <row r="33" spans="1:25" x14ac:dyDescent="0.15">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row>
    <row r="34" spans="1:25" x14ac:dyDescent="0.15">
      <c r="A34" s="208"/>
      <c r="B34" s="222"/>
      <c r="C34" s="208"/>
      <c r="D34" s="208"/>
      <c r="E34" s="208"/>
      <c r="F34" s="208"/>
      <c r="G34" s="208"/>
      <c r="H34" s="208"/>
      <c r="I34" s="208"/>
      <c r="J34" s="208"/>
      <c r="K34" s="208"/>
      <c r="L34" s="208"/>
      <c r="M34" s="208"/>
      <c r="N34" s="208"/>
      <c r="O34" s="208"/>
      <c r="P34" s="208"/>
      <c r="Q34" s="208"/>
      <c r="R34" s="208"/>
      <c r="S34" s="208"/>
      <c r="T34" s="208"/>
      <c r="U34" s="208"/>
      <c r="V34" s="208"/>
      <c r="W34" s="208"/>
      <c r="X34" s="208"/>
      <c r="Y34" s="208"/>
    </row>
    <row r="35" spans="1:25" x14ac:dyDescent="0.15">
      <c r="A35" s="208"/>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row>
    <row r="36" spans="1:25" x14ac:dyDescent="0.15">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row>
    <row r="37" spans="1:25" x14ac:dyDescent="0.15">
      <c r="A37" s="208"/>
      <c r="B37" s="208"/>
      <c r="C37" s="208"/>
      <c r="D37" s="208"/>
      <c r="E37" s="208"/>
      <c r="F37" s="208"/>
      <c r="G37" s="208"/>
      <c r="H37" s="208"/>
      <c r="I37" s="208"/>
      <c r="J37" s="208"/>
      <c r="K37" s="208"/>
      <c r="L37" s="208"/>
      <c r="M37" s="208"/>
      <c r="N37" s="208"/>
      <c r="O37" s="208"/>
      <c r="P37" s="208"/>
      <c r="Q37" s="208"/>
      <c r="R37" s="208"/>
      <c r="S37" s="208"/>
      <c r="T37" s="911" t="s">
        <v>167</v>
      </c>
      <c r="U37" s="911"/>
      <c r="V37" s="911"/>
      <c r="W37" s="911"/>
      <c r="X37" s="911"/>
      <c r="Y37" s="208"/>
    </row>
    <row r="38" spans="1:25" x14ac:dyDescent="0.15">
      <c r="A38" s="208"/>
      <c r="B38" s="222"/>
      <c r="C38" s="208"/>
      <c r="D38" s="208"/>
      <c r="E38" s="208"/>
      <c r="F38" s="208"/>
      <c r="G38" s="208"/>
      <c r="H38" s="208"/>
      <c r="I38" s="208"/>
      <c r="J38" s="208"/>
      <c r="K38" s="208"/>
      <c r="L38" s="208"/>
      <c r="M38" s="208"/>
      <c r="N38" s="208"/>
      <c r="O38" s="208"/>
      <c r="P38" s="208"/>
      <c r="Q38" s="208"/>
      <c r="R38" s="208"/>
      <c r="S38" s="208"/>
      <c r="T38" s="911"/>
      <c r="U38" s="911"/>
      <c r="V38" s="911"/>
      <c r="W38" s="911"/>
      <c r="X38" s="911"/>
      <c r="Y38" s="208"/>
    </row>
    <row r="39" spans="1:25" x14ac:dyDescent="0.15">
      <c r="A39" s="208"/>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row>
  </sheetData>
  <sheetProtection password="B220" sheet="1" objects="1" scenarios="1"/>
  <mergeCells count="18">
    <mergeCell ref="W8:X8"/>
    <mergeCell ref="T37:X38"/>
    <mergeCell ref="K8:L8"/>
    <mergeCell ref="O8:O9"/>
    <mergeCell ref="P8:P9"/>
    <mergeCell ref="Q8:Q9"/>
    <mergeCell ref="S8:T8"/>
    <mergeCell ref="U8:V8"/>
    <mergeCell ref="P5:R5"/>
    <mergeCell ref="B7:C7"/>
    <mergeCell ref="G7:L7"/>
    <mergeCell ref="N7:O7"/>
    <mergeCell ref="S7:X7"/>
    <mergeCell ref="C8:C9"/>
    <mergeCell ref="D8:D9"/>
    <mergeCell ref="E8:E9"/>
    <mergeCell ref="G8:H8"/>
    <mergeCell ref="I8:J8"/>
  </mergeCells>
  <phoneticPr fontId="3"/>
  <pageMargins left="0.62992125984251968" right="0.62992125984251968" top="1.1811023622047245" bottom="0.47244094488188981" header="0.51181102362204722" footer="0"/>
  <pageSetup paperSize="9" scale="96" orientation="landscape" r:id="rId1"/>
  <headerFooter alignWithMargins="0">
    <oddFooter>&amp;L&amp;"ＭＳ Ｐ明朝,太字"&amp;10&amp;D  Health and Environment Research Center  LOAD LIST  DATA Sheet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誤差比較</vt:lpstr>
      <vt:lpstr>VD4</vt:lpstr>
      <vt:lpstr>Data VD4</vt:lpstr>
      <vt:lpstr>Load-List</vt:lpstr>
      <vt:lpstr>Data LList</vt:lpstr>
      <vt:lpstr>ＡＣＧ</vt:lpstr>
      <vt:lpstr>ＣＵＳＥＲ</vt:lpstr>
      <vt:lpstr>'Data VD4'!ＣＶ２３Ｃ</vt:lpstr>
      <vt:lpstr>ＣＶＴ</vt:lpstr>
      <vt:lpstr>'Data VD4'!ＩＶ</vt:lpstr>
      <vt:lpstr>ＩＶ</vt:lpstr>
      <vt:lpstr>'Data LList'!Print_Area</vt:lpstr>
      <vt:lpstr>'Load-List'!Print_Area</vt:lpstr>
      <vt:lpstr>'VD4'!Print_Area</vt:lpstr>
      <vt:lpstr>誤差比較!Print_Area</vt:lpstr>
      <vt:lpstr>電動機５０</vt:lpstr>
      <vt:lpstr>電動機６０</vt:lpstr>
      <vt:lpstr>変１</vt:lpstr>
      <vt:lpstr>変３</vt:lpstr>
      <vt:lpstr>'Data VD4'!変ＵＳＥＲ</vt:lpstr>
      <vt:lpstr>変ＵＳＥＲ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 Service</dc:creator>
  <cp:lastModifiedBy>FJ-USER</cp:lastModifiedBy>
  <cp:lastPrinted>2017-12-26T03:01:36Z</cp:lastPrinted>
  <dcterms:created xsi:type="dcterms:W3CDTF">2017-06-12T00:51:28Z</dcterms:created>
  <dcterms:modified xsi:type="dcterms:W3CDTF">2018-12-22T10:43:53Z</dcterms:modified>
</cp:coreProperties>
</file>