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1395" windowWidth="20610" windowHeight="11640"/>
  </bookViews>
  <sheets>
    <sheet name="User-VD43" sheetId="4" r:id="rId1"/>
    <sheet name="VD4 data" sheetId="2" r:id="rId2"/>
  </sheets>
  <externalReferences>
    <externalReference r:id="rId3"/>
  </externalReferences>
  <definedNames>
    <definedName name="ＡＣＧ" localSheetId="0">'VD4 data'!$G$38:$J$52</definedName>
    <definedName name="ＡＣＧ">'VD4 data'!$G$38:$J$52</definedName>
    <definedName name="ＣＵＳＥＲ" localSheetId="0">'VD4 data'!$Z$27:$AB$44</definedName>
    <definedName name="ＣＵＳＥＲ" localSheetId="1">'VD4 data'!$Z$27:$AB$44</definedName>
    <definedName name="ＣＵＳＥＲ">#REF!</definedName>
    <definedName name="ＣＶ２３Ｃ" localSheetId="1">'VD4 data'!$V$27:$X$44</definedName>
    <definedName name="ＣＶ２３Ｃ">'VD4 data'!$V$27:$X$44</definedName>
    <definedName name="ＣＶＴ" localSheetId="0">'VD4 data'!$Z$6:$AB$21</definedName>
    <definedName name="ＣＶＴ" localSheetId="1">'VD4 data'!$Z$6:$AB$21</definedName>
    <definedName name="ＣＶＴ">#REF!</definedName>
    <definedName name="ＩＶ" localSheetId="0">'VD4 data'!$V$6:$X$21</definedName>
    <definedName name="ＩＶ" localSheetId="1">'VD4 data'!$V$6:$X$21</definedName>
    <definedName name="ＩＶ">#REF!</definedName>
    <definedName name="_xlnm.Print_Area" localSheetId="0">'User-VD43'!$D$8:$AL$198</definedName>
    <definedName name="_xlnm.Print_Area" localSheetId="1">'VD4 data'!$A$1:$AC$56</definedName>
    <definedName name="_xlnm.Print_Titles" localSheetId="0">'User-VD43'!$8:$13</definedName>
    <definedName name="ＵＳＥＲ">'[1]VD2-Data '!$N$6:$Q$23</definedName>
    <definedName name="充電電流３">'[1]VD2-Data '!$D$6:$G$23</definedName>
    <definedName name="充電電流Ｔ">'[1]VD2-Data '!$I$6:$L$23</definedName>
    <definedName name="変１" localSheetId="0">'VD4 data'!$B$4:$T$16</definedName>
    <definedName name="変１" localSheetId="1">'VD4 data'!$B$4:$T$16</definedName>
    <definedName name="変１">#REF!</definedName>
    <definedName name="変３" localSheetId="0">'VD4 data'!$B$20:$T$34</definedName>
    <definedName name="変３" localSheetId="1">'VD4 data'!$B$20:$T$34</definedName>
    <definedName name="変３">#REF!</definedName>
    <definedName name="変ＵＳＥＲ" localSheetId="0">'VD4 data'!$B$38:$E$52</definedName>
    <definedName name="変ＵＳＥＲ" localSheetId="1">'VD4 data'!$B$38:$E$52</definedName>
    <definedName name="変ＵＳＥＲ">#REF!</definedName>
    <definedName name="変圧器">'[1]VD2-Data '!$D$27:$G$41</definedName>
  </definedNames>
  <calcPr calcId="145621"/>
</workbook>
</file>

<file path=xl/calcChain.xml><?xml version="1.0" encoding="utf-8"?>
<calcChain xmlns="http://schemas.openxmlformats.org/spreadsheetml/2006/main">
  <c r="BH22" i="4" l="1"/>
  <c r="C22" i="4"/>
  <c r="BH186" i="4" l="1"/>
  <c r="BH190" i="4"/>
  <c r="BH18" i="4" l="1"/>
  <c r="C18" i="4" s="1"/>
  <c r="BH182" i="4"/>
  <c r="BH178" i="4"/>
  <c r="BH174" i="4"/>
  <c r="C174" i="4" s="1"/>
  <c r="BH170" i="4"/>
  <c r="BH166" i="4"/>
  <c r="BH162" i="4"/>
  <c r="BH158" i="4"/>
  <c r="BH154" i="4"/>
  <c r="C154" i="4" s="1"/>
  <c r="BH150" i="4"/>
  <c r="BH146" i="4"/>
  <c r="C146" i="4" s="1"/>
  <c r="BH142" i="4"/>
  <c r="C142" i="4" s="1"/>
  <c r="BH138" i="4"/>
  <c r="BH134" i="4"/>
  <c r="C134" i="4" s="1"/>
  <c r="BH130" i="4"/>
  <c r="BH126" i="4"/>
  <c r="BH122" i="4"/>
  <c r="BH118" i="4"/>
  <c r="C118" i="4" s="1"/>
  <c r="BH114" i="4"/>
  <c r="C114" i="4" s="1"/>
  <c r="BH110" i="4"/>
  <c r="C110" i="4" s="1"/>
  <c r="BH106" i="4"/>
  <c r="BH102" i="4"/>
  <c r="BH98" i="4"/>
  <c r="BH94" i="4"/>
  <c r="BH90" i="4"/>
  <c r="BH86" i="4"/>
  <c r="BH82" i="4"/>
  <c r="BH78" i="4"/>
  <c r="C78" i="4" s="1"/>
  <c r="BH74" i="4"/>
  <c r="BH70" i="4"/>
  <c r="BH66" i="4"/>
  <c r="BH62" i="4"/>
  <c r="BH58" i="4"/>
  <c r="BH54" i="4"/>
  <c r="C54" i="4" s="1"/>
  <c r="BH50" i="4"/>
  <c r="C50" i="4" s="1"/>
  <c r="BH46" i="4"/>
  <c r="C46" i="4" s="1"/>
  <c r="BH42" i="4"/>
  <c r="BH38" i="4"/>
  <c r="BH34" i="4"/>
  <c r="BH30" i="4"/>
  <c r="C30" i="4" s="1"/>
  <c r="BH26" i="4"/>
  <c r="C26" i="4" s="1"/>
  <c r="S190" i="4"/>
  <c r="S191" i="4"/>
  <c r="S192" i="4"/>
  <c r="S193" i="4"/>
  <c r="AD193" i="4"/>
  <c r="AB193" i="4"/>
  <c r="Z193" i="4"/>
  <c r="X193" i="4"/>
  <c r="L193" i="4"/>
  <c r="S178" i="4"/>
  <c r="S179" i="4"/>
  <c r="S180" i="4"/>
  <c r="S181" i="4"/>
  <c r="S182" i="4"/>
  <c r="S183" i="4"/>
  <c r="S184" i="4"/>
  <c r="S185" i="4"/>
  <c r="S186" i="4"/>
  <c r="BA189" i="4" s="1"/>
  <c r="S187" i="4"/>
  <c r="S188" i="4"/>
  <c r="S189" i="4"/>
  <c r="AP191" i="4"/>
  <c r="M191" i="4"/>
  <c r="K190" i="4"/>
  <c r="I190" i="4"/>
  <c r="G190" i="4"/>
  <c r="AD189" i="4"/>
  <c r="AB189" i="4"/>
  <c r="Z189" i="4"/>
  <c r="X189" i="4"/>
  <c r="L189" i="4"/>
  <c r="AP187" i="4"/>
  <c r="M187" i="4"/>
  <c r="K186" i="4"/>
  <c r="I186" i="4"/>
  <c r="G186" i="4"/>
  <c r="AD185" i="4"/>
  <c r="AB185" i="4"/>
  <c r="Z185" i="4"/>
  <c r="X185" i="4"/>
  <c r="L185" i="4"/>
  <c r="AP183" i="4"/>
  <c r="M183" i="4"/>
  <c r="K182" i="4"/>
  <c r="I182" i="4"/>
  <c r="G182" i="4"/>
  <c r="AD181" i="4"/>
  <c r="AB181" i="4"/>
  <c r="Z181" i="4"/>
  <c r="X181" i="4"/>
  <c r="L181" i="4"/>
  <c r="AP179" i="4"/>
  <c r="M179" i="4"/>
  <c r="K178" i="4"/>
  <c r="I178" i="4"/>
  <c r="G178" i="4"/>
  <c r="S174" i="4"/>
  <c r="S175" i="4"/>
  <c r="BA177" i="4" s="1"/>
  <c r="S176" i="4"/>
  <c r="S177" i="4"/>
  <c r="AD177" i="4"/>
  <c r="AB177" i="4"/>
  <c r="Z177" i="4"/>
  <c r="X177" i="4"/>
  <c r="L177" i="4"/>
  <c r="S158" i="4"/>
  <c r="BA159" i="4" s="1"/>
  <c r="S159" i="4"/>
  <c r="S160" i="4"/>
  <c r="S161" i="4"/>
  <c r="S162" i="4"/>
  <c r="S163" i="4"/>
  <c r="S164" i="4"/>
  <c r="S165" i="4"/>
  <c r="BA164" i="4"/>
  <c r="AX162" i="4" s="1"/>
  <c r="AF165" i="4" s="1"/>
  <c r="S166" i="4"/>
  <c r="S167" i="4"/>
  <c r="S168" i="4"/>
  <c r="S169" i="4"/>
  <c r="S170" i="4"/>
  <c r="S171" i="4"/>
  <c r="S172" i="4"/>
  <c r="S173" i="4"/>
  <c r="AP175" i="4"/>
  <c r="M175" i="4"/>
  <c r="K174" i="4"/>
  <c r="I174" i="4"/>
  <c r="G174" i="4"/>
  <c r="AD173" i="4"/>
  <c r="AB173" i="4"/>
  <c r="Z173" i="4"/>
  <c r="X173" i="4"/>
  <c r="L173" i="4"/>
  <c r="AP171" i="4"/>
  <c r="M171" i="4"/>
  <c r="K170" i="4"/>
  <c r="I170" i="4"/>
  <c r="G170" i="4"/>
  <c r="AD169" i="4"/>
  <c r="AB169" i="4"/>
  <c r="Z169" i="4"/>
  <c r="X169" i="4"/>
  <c r="L169" i="4"/>
  <c r="AP167" i="4"/>
  <c r="M167" i="4"/>
  <c r="K166" i="4"/>
  <c r="I166" i="4"/>
  <c r="G166" i="4"/>
  <c r="AD165" i="4"/>
  <c r="AB165" i="4"/>
  <c r="Z165" i="4"/>
  <c r="X165" i="4"/>
  <c r="L165" i="4"/>
  <c r="AP163" i="4"/>
  <c r="M163" i="4"/>
  <c r="K162" i="4"/>
  <c r="I162" i="4"/>
  <c r="G162" i="4"/>
  <c r="AD161" i="4"/>
  <c r="AB161" i="4"/>
  <c r="Z161" i="4"/>
  <c r="X161" i="4"/>
  <c r="L161" i="4"/>
  <c r="AP159" i="4"/>
  <c r="M159" i="4"/>
  <c r="K158" i="4"/>
  <c r="I158" i="4"/>
  <c r="G158" i="4"/>
  <c r="S154" i="4"/>
  <c r="S155" i="4"/>
  <c r="S156" i="4"/>
  <c r="S157" i="4"/>
  <c r="AD157" i="4"/>
  <c r="AB157" i="4"/>
  <c r="Z157" i="4"/>
  <c r="X157" i="4"/>
  <c r="L157" i="4"/>
  <c r="S138" i="4"/>
  <c r="S139" i="4"/>
  <c r="BA140" i="4" s="1"/>
  <c r="AG138" i="4" s="1"/>
  <c r="AG139" i="4" s="1"/>
  <c r="S140" i="4"/>
  <c r="S141" i="4"/>
  <c r="S142" i="4"/>
  <c r="S143" i="4"/>
  <c r="S144" i="4"/>
  <c r="S145" i="4"/>
  <c r="S146" i="4"/>
  <c r="S147" i="4"/>
  <c r="S148" i="4"/>
  <c r="S149" i="4"/>
  <c r="S150" i="4"/>
  <c r="S151" i="4"/>
  <c r="S152" i="4"/>
  <c r="S153" i="4"/>
  <c r="AP155" i="4"/>
  <c r="M155" i="4"/>
  <c r="K154" i="4"/>
  <c r="I154" i="4"/>
  <c r="G154" i="4"/>
  <c r="AD153" i="4"/>
  <c r="AB153" i="4"/>
  <c r="Z153" i="4"/>
  <c r="X153" i="4"/>
  <c r="L153" i="4"/>
  <c r="AP151" i="4"/>
  <c r="M151" i="4"/>
  <c r="K150" i="4"/>
  <c r="I150" i="4"/>
  <c r="G150" i="4"/>
  <c r="AD149" i="4"/>
  <c r="AB149" i="4"/>
  <c r="Z149" i="4"/>
  <c r="X149" i="4"/>
  <c r="L149" i="4"/>
  <c r="AP147" i="4"/>
  <c r="M147" i="4"/>
  <c r="K146" i="4"/>
  <c r="I146" i="4"/>
  <c r="G146" i="4"/>
  <c r="AD145" i="4"/>
  <c r="AB145" i="4"/>
  <c r="Z145" i="4"/>
  <c r="X145" i="4"/>
  <c r="L145" i="4"/>
  <c r="AP143" i="4"/>
  <c r="M143" i="4"/>
  <c r="K142" i="4"/>
  <c r="I142" i="4"/>
  <c r="G142" i="4"/>
  <c r="AD141" i="4"/>
  <c r="AB141" i="4"/>
  <c r="Z141" i="4"/>
  <c r="X141" i="4"/>
  <c r="L141" i="4"/>
  <c r="AP139" i="4"/>
  <c r="M139" i="4"/>
  <c r="K138" i="4"/>
  <c r="I138" i="4"/>
  <c r="G138" i="4"/>
  <c r="S134" i="4"/>
  <c r="S135" i="4"/>
  <c r="S136" i="4"/>
  <c r="S137" i="4"/>
  <c r="AD137" i="4"/>
  <c r="AB137" i="4"/>
  <c r="Z137" i="4"/>
  <c r="X137" i="4"/>
  <c r="L137" i="4"/>
  <c r="S118" i="4"/>
  <c r="S119" i="4"/>
  <c r="S120" i="4"/>
  <c r="BA118" i="4" s="1"/>
  <c r="AN121" i="4" s="1"/>
  <c r="S121" i="4"/>
  <c r="S122" i="4"/>
  <c r="S123" i="4"/>
  <c r="S124" i="4"/>
  <c r="S125" i="4"/>
  <c r="S126" i="4"/>
  <c r="S127" i="4"/>
  <c r="S128" i="4"/>
  <c r="BA127" i="4" s="1"/>
  <c r="S129" i="4"/>
  <c r="S130" i="4"/>
  <c r="S131" i="4"/>
  <c r="S132" i="4"/>
  <c r="S133" i="4"/>
  <c r="AP135" i="4"/>
  <c r="M135" i="4"/>
  <c r="K134" i="4"/>
  <c r="I134" i="4"/>
  <c r="G134" i="4"/>
  <c r="AD133" i="4"/>
  <c r="AB133" i="4"/>
  <c r="Z133" i="4"/>
  <c r="X133" i="4"/>
  <c r="L133" i="4"/>
  <c r="AP131" i="4"/>
  <c r="M131" i="4"/>
  <c r="K130" i="4"/>
  <c r="I130" i="4"/>
  <c r="G130" i="4"/>
  <c r="AD129" i="4"/>
  <c r="AB129" i="4"/>
  <c r="Z129" i="4"/>
  <c r="X129" i="4"/>
  <c r="L129" i="4"/>
  <c r="AP127" i="4"/>
  <c r="M127" i="4"/>
  <c r="K126" i="4"/>
  <c r="I126" i="4"/>
  <c r="G126" i="4"/>
  <c r="AD125" i="4"/>
  <c r="AB125" i="4"/>
  <c r="Z125" i="4"/>
  <c r="X125" i="4"/>
  <c r="L125" i="4"/>
  <c r="AP123" i="4"/>
  <c r="M123" i="4"/>
  <c r="K122" i="4"/>
  <c r="I122" i="4"/>
  <c r="G122" i="4"/>
  <c r="AD121" i="4"/>
  <c r="AB121" i="4"/>
  <c r="Z121" i="4"/>
  <c r="X121" i="4"/>
  <c r="L121" i="4"/>
  <c r="AP119" i="4"/>
  <c r="M119" i="4"/>
  <c r="K118" i="4"/>
  <c r="I118" i="4"/>
  <c r="G118" i="4"/>
  <c r="S114" i="4"/>
  <c r="S115" i="4"/>
  <c r="S116" i="4"/>
  <c r="S117" i="4"/>
  <c r="AD117" i="4"/>
  <c r="AB117" i="4"/>
  <c r="Z117" i="4"/>
  <c r="X117" i="4"/>
  <c r="L117" i="4"/>
  <c r="S98" i="4"/>
  <c r="S99" i="4"/>
  <c r="S100" i="4"/>
  <c r="S101" i="4"/>
  <c r="S102" i="4"/>
  <c r="S103" i="4"/>
  <c r="S104" i="4"/>
  <c r="S105" i="4"/>
  <c r="S106" i="4"/>
  <c r="S107" i="4"/>
  <c r="S108" i="4"/>
  <c r="S109" i="4"/>
  <c r="S110" i="4"/>
  <c r="S111" i="4"/>
  <c r="S112" i="4"/>
  <c r="S113" i="4"/>
  <c r="AP115" i="4"/>
  <c r="M115" i="4"/>
  <c r="K114" i="4"/>
  <c r="I114" i="4"/>
  <c r="G114" i="4"/>
  <c r="AD113" i="4"/>
  <c r="AB113" i="4"/>
  <c r="Z113" i="4"/>
  <c r="X113" i="4"/>
  <c r="L113" i="4"/>
  <c r="AP111" i="4"/>
  <c r="M111" i="4"/>
  <c r="K110" i="4"/>
  <c r="I110" i="4"/>
  <c r="G110" i="4"/>
  <c r="AD109" i="4"/>
  <c r="AB109" i="4"/>
  <c r="Z109" i="4"/>
  <c r="X109" i="4"/>
  <c r="L109" i="4"/>
  <c r="AP107" i="4"/>
  <c r="M107" i="4"/>
  <c r="K106" i="4"/>
  <c r="I106" i="4"/>
  <c r="G106" i="4"/>
  <c r="AD105" i="4"/>
  <c r="AB105" i="4"/>
  <c r="Z105" i="4"/>
  <c r="X105" i="4"/>
  <c r="L105" i="4"/>
  <c r="AP103" i="4"/>
  <c r="M103" i="4"/>
  <c r="K102" i="4"/>
  <c r="I102" i="4"/>
  <c r="G102" i="4"/>
  <c r="AD101" i="4"/>
  <c r="AB101" i="4"/>
  <c r="Z101" i="4"/>
  <c r="X101" i="4"/>
  <c r="L101" i="4"/>
  <c r="AP99" i="4"/>
  <c r="M99" i="4"/>
  <c r="K98" i="4"/>
  <c r="I98" i="4"/>
  <c r="G98" i="4"/>
  <c r="S94" i="4"/>
  <c r="S95" i="4"/>
  <c r="S96" i="4"/>
  <c r="S97" i="4"/>
  <c r="AD97" i="4"/>
  <c r="AB97" i="4"/>
  <c r="Z97" i="4"/>
  <c r="X97" i="4"/>
  <c r="L97" i="4"/>
  <c r="S78" i="4"/>
  <c r="S79" i="4"/>
  <c r="S80" i="4"/>
  <c r="S81" i="4"/>
  <c r="S82" i="4"/>
  <c r="S83" i="4"/>
  <c r="BA84" i="4" s="1"/>
  <c r="S84" i="4"/>
  <c r="S85" i="4"/>
  <c r="S86" i="4"/>
  <c r="S87" i="4"/>
  <c r="S88" i="4"/>
  <c r="S89" i="4"/>
  <c r="S90" i="4"/>
  <c r="S91" i="4"/>
  <c r="S92" i="4"/>
  <c r="BA90" i="4" s="1"/>
  <c r="S93" i="4"/>
  <c r="AP95" i="4"/>
  <c r="M95" i="4"/>
  <c r="K94" i="4"/>
  <c r="I94" i="4"/>
  <c r="G94" i="4"/>
  <c r="AD93" i="4"/>
  <c r="AB93" i="4"/>
  <c r="Z93" i="4"/>
  <c r="X93" i="4"/>
  <c r="L93" i="4"/>
  <c r="AP91" i="4"/>
  <c r="M91" i="4"/>
  <c r="K90" i="4"/>
  <c r="I90" i="4"/>
  <c r="G90" i="4"/>
  <c r="AD89" i="4"/>
  <c r="AB89" i="4"/>
  <c r="Z89" i="4"/>
  <c r="X89" i="4"/>
  <c r="L89" i="4"/>
  <c r="AP87" i="4"/>
  <c r="M87" i="4"/>
  <c r="K86" i="4"/>
  <c r="I86" i="4"/>
  <c r="G86" i="4"/>
  <c r="AD85" i="4"/>
  <c r="AB85" i="4"/>
  <c r="Z85" i="4"/>
  <c r="X85" i="4"/>
  <c r="L85" i="4"/>
  <c r="AP83" i="4"/>
  <c r="M83" i="4"/>
  <c r="K82" i="4"/>
  <c r="I82" i="4"/>
  <c r="G82" i="4"/>
  <c r="AD81" i="4"/>
  <c r="AB81" i="4"/>
  <c r="Z81" i="4"/>
  <c r="X81" i="4"/>
  <c r="L81" i="4"/>
  <c r="AP79" i="4"/>
  <c r="M79" i="4"/>
  <c r="K78" i="4"/>
  <c r="I78" i="4"/>
  <c r="G78" i="4"/>
  <c r="S74" i="4"/>
  <c r="S75" i="4"/>
  <c r="S76" i="4"/>
  <c r="S77" i="4"/>
  <c r="AD77" i="4"/>
  <c r="AB77" i="4"/>
  <c r="Z77" i="4"/>
  <c r="X77" i="4"/>
  <c r="L77" i="4"/>
  <c r="S58" i="4"/>
  <c r="S59" i="4"/>
  <c r="S60" i="4"/>
  <c r="S61" i="4"/>
  <c r="S62" i="4"/>
  <c r="S63" i="4"/>
  <c r="S64" i="4"/>
  <c r="S65" i="4"/>
  <c r="BA64" i="4"/>
  <c r="U62" i="4" s="1"/>
  <c r="S66" i="4"/>
  <c r="S67" i="4"/>
  <c r="S68" i="4"/>
  <c r="BA67" i="4" s="1"/>
  <c r="S69" i="4"/>
  <c r="BA66" i="4" s="1"/>
  <c r="S70" i="4"/>
  <c r="S71" i="4"/>
  <c r="S72" i="4"/>
  <c r="S73" i="4"/>
  <c r="AP75" i="4"/>
  <c r="M75" i="4"/>
  <c r="K74" i="4"/>
  <c r="I74" i="4"/>
  <c r="G74" i="4"/>
  <c r="AD73" i="4"/>
  <c r="AB73" i="4"/>
  <c r="Z73" i="4"/>
  <c r="X73" i="4"/>
  <c r="L73" i="4"/>
  <c r="AP71" i="4"/>
  <c r="M71" i="4"/>
  <c r="K70" i="4"/>
  <c r="I70" i="4"/>
  <c r="G70" i="4"/>
  <c r="AD69" i="4"/>
  <c r="AB69" i="4"/>
  <c r="Z69" i="4"/>
  <c r="X69" i="4"/>
  <c r="L69" i="4"/>
  <c r="AP67" i="4"/>
  <c r="M67" i="4"/>
  <c r="K66" i="4"/>
  <c r="I66" i="4"/>
  <c r="G66" i="4"/>
  <c r="AD65" i="4"/>
  <c r="AB65" i="4"/>
  <c r="Z65" i="4"/>
  <c r="X65" i="4"/>
  <c r="L65" i="4"/>
  <c r="AP63" i="4"/>
  <c r="M63" i="4"/>
  <c r="K62" i="4"/>
  <c r="I62" i="4"/>
  <c r="G62" i="4"/>
  <c r="AD61" i="4"/>
  <c r="AB61" i="4"/>
  <c r="Z61" i="4"/>
  <c r="X61" i="4"/>
  <c r="L61" i="4"/>
  <c r="AP59" i="4"/>
  <c r="M59" i="4"/>
  <c r="K58" i="4"/>
  <c r="I58" i="4"/>
  <c r="G58" i="4"/>
  <c r="S54" i="4"/>
  <c r="S55" i="4"/>
  <c r="S56" i="4"/>
  <c r="S57" i="4"/>
  <c r="AD57" i="4"/>
  <c r="AB57" i="4"/>
  <c r="Z57" i="4"/>
  <c r="X57" i="4"/>
  <c r="L57" i="4"/>
  <c r="S38" i="4"/>
  <c r="S39" i="4"/>
  <c r="S40" i="4"/>
  <c r="S41" i="4"/>
  <c r="S42" i="4"/>
  <c r="S43" i="4"/>
  <c r="S44" i="4"/>
  <c r="S45" i="4"/>
  <c r="S46" i="4"/>
  <c r="S47" i="4"/>
  <c r="S48" i="4"/>
  <c r="S49" i="4"/>
  <c r="S50" i="4"/>
  <c r="S51" i="4"/>
  <c r="BA50" i="4" s="1"/>
  <c r="AQ50" i="4" s="1"/>
  <c r="S52" i="4"/>
  <c r="S53" i="4"/>
  <c r="AP55" i="4"/>
  <c r="M55" i="4"/>
  <c r="K54" i="4"/>
  <c r="I54" i="4"/>
  <c r="G54" i="4"/>
  <c r="AD53" i="4"/>
  <c r="AB53" i="4"/>
  <c r="Z53" i="4"/>
  <c r="X53" i="4"/>
  <c r="L53" i="4"/>
  <c r="AP51" i="4"/>
  <c r="M51" i="4"/>
  <c r="K50" i="4"/>
  <c r="I50" i="4"/>
  <c r="G50" i="4"/>
  <c r="AD49" i="4"/>
  <c r="AB49" i="4"/>
  <c r="Z49" i="4"/>
  <c r="X49" i="4"/>
  <c r="L49" i="4"/>
  <c r="AP47" i="4"/>
  <c r="M47" i="4"/>
  <c r="K46" i="4"/>
  <c r="I46" i="4"/>
  <c r="G46" i="4"/>
  <c r="AD45" i="4"/>
  <c r="AB45" i="4"/>
  <c r="Z45" i="4"/>
  <c r="X45" i="4"/>
  <c r="L45" i="4"/>
  <c r="AP43" i="4"/>
  <c r="M43" i="4"/>
  <c r="K42" i="4"/>
  <c r="I42" i="4"/>
  <c r="G42" i="4"/>
  <c r="AD41" i="4"/>
  <c r="AB41" i="4"/>
  <c r="Z41" i="4"/>
  <c r="X41" i="4"/>
  <c r="L41" i="4"/>
  <c r="AP39" i="4"/>
  <c r="M39" i="4"/>
  <c r="K38" i="4"/>
  <c r="I38" i="4"/>
  <c r="G38" i="4"/>
  <c r="S34" i="4"/>
  <c r="BA37" i="4" s="1"/>
  <c r="S35" i="4"/>
  <c r="S36" i="4"/>
  <c r="S37" i="4"/>
  <c r="BA36" i="4"/>
  <c r="AG34" i="4" s="1"/>
  <c r="AD37" i="4"/>
  <c r="AB37" i="4"/>
  <c r="Z37" i="4"/>
  <c r="X37" i="4"/>
  <c r="L37" i="4"/>
  <c r="S18" i="4"/>
  <c r="S19" i="4"/>
  <c r="S20" i="4"/>
  <c r="S21" i="4"/>
  <c r="S22" i="4"/>
  <c r="S23" i="4"/>
  <c r="S24" i="4"/>
  <c r="S25" i="4"/>
  <c r="S26" i="4"/>
  <c r="S27" i="4"/>
  <c r="S28" i="4"/>
  <c r="S29" i="4"/>
  <c r="S30" i="4"/>
  <c r="S31" i="4"/>
  <c r="S32" i="4"/>
  <c r="S33" i="4"/>
  <c r="AP35" i="4"/>
  <c r="M35" i="4"/>
  <c r="K34" i="4"/>
  <c r="I34" i="4"/>
  <c r="G34" i="4"/>
  <c r="AD33" i="4"/>
  <c r="AB33" i="4"/>
  <c r="L33" i="4"/>
  <c r="AP31" i="4"/>
  <c r="M31" i="4"/>
  <c r="K30" i="4"/>
  <c r="I30" i="4"/>
  <c r="G30" i="4"/>
  <c r="AD29" i="4"/>
  <c r="AB29" i="4"/>
  <c r="L29" i="4"/>
  <c r="AP27" i="4"/>
  <c r="M27" i="4"/>
  <c r="K26" i="4"/>
  <c r="I26" i="4"/>
  <c r="G26" i="4"/>
  <c r="AD25" i="4"/>
  <c r="AB25" i="4"/>
  <c r="L25" i="4"/>
  <c r="AP23" i="4"/>
  <c r="M23" i="4"/>
  <c r="K22" i="4"/>
  <c r="I22" i="4"/>
  <c r="G22" i="4"/>
  <c r="AD21" i="4"/>
  <c r="AB21" i="4"/>
  <c r="AP19" i="4"/>
  <c r="K18" i="4"/>
  <c r="I18" i="4"/>
  <c r="G18" i="4"/>
  <c r="AY117" i="4"/>
  <c r="AY115" i="4" s="1"/>
  <c r="AO117" i="4" s="1"/>
  <c r="AW117" i="4" s="1"/>
  <c r="AU115" i="4"/>
  <c r="AU117" i="4" s="1"/>
  <c r="AR117" i="4"/>
  <c r="AY116" i="4"/>
  <c r="AY114" i="4" s="1"/>
  <c r="AO116" i="4" s="1"/>
  <c r="AW116" i="4" s="1"/>
  <c r="AY100" i="4"/>
  <c r="AY98" i="4" s="1"/>
  <c r="AO100" i="4" s="1"/>
  <c r="AW100" i="4" s="1"/>
  <c r="AY16" i="4"/>
  <c r="AY14" i="4" s="1"/>
  <c r="AO16" i="4" s="1"/>
  <c r="AW16" i="4" s="1"/>
  <c r="AO22" i="4"/>
  <c r="AV22" i="4"/>
  <c r="AY24" i="4"/>
  <c r="AY22" i="4" s="1"/>
  <c r="AO24" i="4" s="1"/>
  <c r="AW24" i="4" s="1"/>
  <c r="AO23" i="4"/>
  <c r="AV23" i="4"/>
  <c r="AY25" i="4"/>
  <c r="AY23" i="4" s="1"/>
  <c r="AO25" i="4" s="1"/>
  <c r="AW25" i="4" s="1"/>
  <c r="AY28" i="4"/>
  <c r="AY26" i="4" s="1"/>
  <c r="AO28" i="4" s="1"/>
  <c r="AW28" i="4" s="1"/>
  <c r="AY29" i="4"/>
  <c r="AY27" i="4" s="1"/>
  <c r="AO29" i="4" s="1"/>
  <c r="AW29" i="4" s="1"/>
  <c r="AU22" i="4"/>
  <c r="AU24" i="4" s="1"/>
  <c r="AR22" i="4"/>
  <c r="AU23" i="4"/>
  <c r="AU25" i="4" s="1"/>
  <c r="AR23" i="4"/>
  <c r="AP22" i="4"/>
  <c r="AY32" i="4"/>
  <c r="AY30" i="4" s="1"/>
  <c r="AO32" i="4" s="1"/>
  <c r="AW32" i="4" s="1"/>
  <c r="AY36" i="4"/>
  <c r="AY34" i="4" s="1"/>
  <c r="AO36" i="4" s="1"/>
  <c r="AW36" i="4" s="1"/>
  <c r="AY104" i="4"/>
  <c r="AY102" i="4" s="1"/>
  <c r="AO104" i="4" s="1"/>
  <c r="AW104" i="4" s="1"/>
  <c r="AY108" i="4"/>
  <c r="AY106" i="4" s="1"/>
  <c r="AO108" i="4" s="1"/>
  <c r="AW108" i="4" s="1"/>
  <c r="AY112" i="4"/>
  <c r="AY110" i="4" s="1"/>
  <c r="AO112" i="4" s="1"/>
  <c r="AW112" i="4" s="1"/>
  <c r="AU114" i="4"/>
  <c r="AU116" i="4" s="1"/>
  <c r="AR116" i="4"/>
  <c r="AV115" i="4"/>
  <c r="AR115" i="4"/>
  <c r="AO115" i="4"/>
  <c r="AV114" i="4"/>
  <c r="AR114" i="4"/>
  <c r="AP114" i="4"/>
  <c r="AO114" i="4"/>
  <c r="AY113" i="4"/>
  <c r="AY111" i="4" s="1"/>
  <c r="AO113" i="4" s="1"/>
  <c r="AW113" i="4" s="1"/>
  <c r="AU111" i="4"/>
  <c r="AU113" i="4" s="1"/>
  <c r="AR113" i="4"/>
  <c r="AU110" i="4"/>
  <c r="AU112" i="4" s="1"/>
  <c r="AR112" i="4"/>
  <c r="AV111" i="4"/>
  <c r="AR111" i="4"/>
  <c r="AO111" i="4"/>
  <c r="AV110" i="4"/>
  <c r="AR110" i="4"/>
  <c r="AP110" i="4"/>
  <c r="AO110" i="4"/>
  <c r="AY109" i="4"/>
  <c r="AY107" i="4" s="1"/>
  <c r="AO109" i="4" s="1"/>
  <c r="AW109" i="4" s="1"/>
  <c r="AU107" i="4"/>
  <c r="AU109" i="4" s="1"/>
  <c r="AR109" i="4"/>
  <c r="AU106" i="4"/>
  <c r="AU108" i="4" s="1"/>
  <c r="AR108" i="4"/>
  <c r="AV107" i="4"/>
  <c r="AR107" i="4"/>
  <c r="AO107" i="4"/>
  <c r="AV106" i="4"/>
  <c r="AR106" i="4"/>
  <c r="AP106" i="4"/>
  <c r="AO106" i="4"/>
  <c r="C106" i="4"/>
  <c r="AY105" i="4"/>
  <c r="AY103" i="4" s="1"/>
  <c r="AO105" i="4" s="1"/>
  <c r="AW105" i="4" s="1"/>
  <c r="AU103" i="4"/>
  <c r="AU105" i="4" s="1"/>
  <c r="AR105" i="4"/>
  <c r="AU102" i="4"/>
  <c r="AU104" i="4" s="1"/>
  <c r="AR104" i="4"/>
  <c r="AV103" i="4"/>
  <c r="AR103" i="4"/>
  <c r="AO103" i="4"/>
  <c r="AV102" i="4"/>
  <c r="AR102" i="4"/>
  <c r="AP102" i="4"/>
  <c r="AO102" i="4"/>
  <c r="C102" i="4"/>
  <c r="AY101" i="4"/>
  <c r="AY99" i="4" s="1"/>
  <c r="AO101" i="4" s="1"/>
  <c r="AW101" i="4" s="1"/>
  <c r="AU99" i="4"/>
  <c r="AU101" i="4" s="1"/>
  <c r="AR101" i="4"/>
  <c r="AU98" i="4"/>
  <c r="AU100" i="4" s="1"/>
  <c r="AR100" i="4"/>
  <c r="AV99" i="4"/>
  <c r="AR99" i="4"/>
  <c r="AO99" i="4"/>
  <c r="AV98" i="4"/>
  <c r="AR98" i="4"/>
  <c r="AP98" i="4"/>
  <c r="AO98" i="4"/>
  <c r="C98" i="4"/>
  <c r="AY97" i="4"/>
  <c r="AY95" i="4" s="1"/>
  <c r="AO97" i="4" s="1"/>
  <c r="AW97" i="4" s="1"/>
  <c r="AU95" i="4"/>
  <c r="AU97" i="4" s="1"/>
  <c r="AR97" i="4"/>
  <c r="AY96" i="4"/>
  <c r="AY94" i="4" s="1"/>
  <c r="AO96" i="4" s="1"/>
  <c r="AW96" i="4" s="1"/>
  <c r="AY80" i="4"/>
  <c r="AY78" i="4" s="1"/>
  <c r="AO80" i="4" s="1"/>
  <c r="AW80" i="4" s="1"/>
  <c r="AY84" i="4"/>
  <c r="AY82" i="4" s="1"/>
  <c r="AO84" i="4" s="1"/>
  <c r="AW84" i="4" s="1"/>
  <c r="AY88" i="4"/>
  <c r="AY86" i="4" s="1"/>
  <c r="AO88" i="4" s="1"/>
  <c r="AW88" i="4" s="1"/>
  <c r="AY92" i="4"/>
  <c r="AY90" i="4" s="1"/>
  <c r="AO92" i="4" s="1"/>
  <c r="AW92" i="4" s="1"/>
  <c r="AU94" i="4"/>
  <c r="AU96" i="4" s="1"/>
  <c r="AR96" i="4"/>
  <c r="AV95" i="4"/>
  <c r="AR95" i="4"/>
  <c r="AO95" i="4"/>
  <c r="AV94" i="4"/>
  <c r="AR94" i="4"/>
  <c r="AP94" i="4"/>
  <c r="AO94" i="4"/>
  <c r="C94" i="4"/>
  <c r="AY93" i="4"/>
  <c r="AY91" i="4" s="1"/>
  <c r="AO93" i="4" s="1"/>
  <c r="AW93" i="4" s="1"/>
  <c r="AU91" i="4"/>
  <c r="AU93" i="4" s="1"/>
  <c r="AR93" i="4"/>
  <c r="AU90" i="4"/>
  <c r="AU92" i="4" s="1"/>
  <c r="AR92" i="4"/>
  <c r="AV91" i="4"/>
  <c r="AR91" i="4"/>
  <c r="AO91" i="4"/>
  <c r="AV90" i="4"/>
  <c r="AR90" i="4"/>
  <c r="AP90" i="4"/>
  <c r="AO90" i="4"/>
  <c r="C90" i="4"/>
  <c r="BA89" i="4"/>
  <c r="AY89" i="4"/>
  <c r="AY87" i="4" s="1"/>
  <c r="AO89" i="4" s="1"/>
  <c r="AW89" i="4" s="1"/>
  <c r="AU87" i="4"/>
  <c r="AU89" i="4" s="1"/>
  <c r="AR89" i="4"/>
  <c r="AU86" i="4"/>
  <c r="AU88" i="4" s="1"/>
  <c r="AR88" i="4"/>
  <c r="AV87" i="4"/>
  <c r="AR87" i="4"/>
  <c r="AO87" i="4"/>
  <c r="AV86" i="4"/>
  <c r="AR86" i="4"/>
  <c r="AP86" i="4"/>
  <c r="AO86" i="4"/>
  <c r="AY85" i="4"/>
  <c r="AY83" i="4" s="1"/>
  <c r="AO85" i="4" s="1"/>
  <c r="AW85" i="4" s="1"/>
  <c r="AU83" i="4"/>
  <c r="AU85" i="4" s="1"/>
  <c r="AR85" i="4"/>
  <c r="AU82" i="4"/>
  <c r="AU84" i="4" s="1"/>
  <c r="AR84" i="4"/>
  <c r="AV83" i="4"/>
  <c r="AR83" i="4"/>
  <c r="AO83" i="4"/>
  <c r="AV82" i="4"/>
  <c r="AR82" i="4"/>
  <c r="AP82" i="4"/>
  <c r="AO82" i="4"/>
  <c r="AY81" i="4"/>
  <c r="AY79" i="4"/>
  <c r="AO81" i="4" s="1"/>
  <c r="AW81" i="4" s="1"/>
  <c r="AU79" i="4"/>
  <c r="AU81" i="4" s="1"/>
  <c r="AR81" i="4"/>
  <c r="AU78" i="4"/>
  <c r="AU80" i="4" s="1"/>
  <c r="AR80" i="4"/>
  <c r="AV79" i="4"/>
  <c r="AR79" i="4"/>
  <c r="AO79" i="4"/>
  <c r="AV78" i="4"/>
  <c r="AR78" i="4"/>
  <c r="AP78" i="4"/>
  <c r="AO78" i="4"/>
  <c r="AY77" i="4"/>
  <c r="AY75" i="4" s="1"/>
  <c r="AO77" i="4" s="1"/>
  <c r="AW77" i="4" s="1"/>
  <c r="AU75" i="4"/>
  <c r="AU77" i="4" s="1"/>
  <c r="AR77" i="4"/>
  <c r="AY76" i="4"/>
  <c r="AY74" i="4" s="1"/>
  <c r="AO76" i="4" s="1"/>
  <c r="AW76" i="4" s="1"/>
  <c r="AY60" i="4"/>
  <c r="AY58" i="4" s="1"/>
  <c r="AO60" i="4" s="1"/>
  <c r="AW60" i="4" s="1"/>
  <c r="AX60" i="4" s="1"/>
  <c r="AY64" i="4"/>
  <c r="AY62" i="4" s="1"/>
  <c r="AO64" i="4" s="1"/>
  <c r="AW64" i="4" s="1"/>
  <c r="AY68" i="4"/>
  <c r="AY66" i="4" s="1"/>
  <c r="AO68" i="4" s="1"/>
  <c r="AW68" i="4" s="1"/>
  <c r="AO70" i="4"/>
  <c r="AV70" i="4"/>
  <c r="AY72" i="4"/>
  <c r="AO71" i="4"/>
  <c r="AV71" i="4"/>
  <c r="AY73" i="4"/>
  <c r="AY71" i="4" s="1"/>
  <c r="AO73" i="4" s="1"/>
  <c r="AW73" i="4" s="1"/>
  <c r="AY70" i="4"/>
  <c r="AO72" i="4" s="1"/>
  <c r="AW72" i="4" s="1"/>
  <c r="AU70" i="4"/>
  <c r="AU72" i="4" s="1"/>
  <c r="AP70" i="4"/>
  <c r="AU71" i="4"/>
  <c r="AU73" i="4" s="1"/>
  <c r="AU74" i="4"/>
  <c r="AU76" i="4" s="1"/>
  <c r="AR76" i="4"/>
  <c r="AV75" i="4"/>
  <c r="AR75" i="4"/>
  <c r="AO75" i="4"/>
  <c r="AV74" i="4"/>
  <c r="AR74" i="4"/>
  <c r="AP74" i="4"/>
  <c r="AO74" i="4"/>
  <c r="C74" i="4"/>
  <c r="AR73" i="4"/>
  <c r="AR72" i="4"/>
  <c r="AR71" i="4"/>
  <c r="AR70" i="4"/>
  <c r="C70" i="4"/>
  <c r="AY69" i="4"/>
  <c r="AY67" i="4" s="1"/>
  <c r="AO69" i="4" s="1"/>
  <c r="AW69" i="4" s="1"/>
  <c r="AU67" i="4"/>
  <c r="AU69" i="4" s="1"/>
  <c r="AR69" i="4"/>
  <c r="AU66" i="4"/>
  <c r="AU68" i="4" s="1"/>
  <c r="AR68" i="4"/>
  <c r="AV67" i="4"/>
  <c r="AR67" i="4"/>
  <c r="AO67" i="4"/>
  <c r="AV66" i="4"/>
  <c r="AR66" i="4"/>
  <c r="AP66" i="4"/>
  <c r="AO66" i="4"/>
  <c r="C66" i="4"/>
  <c r="BA65" i="4"/>
  <c r="AY65" i="4"/>
  <c r="AY63" i="4" s="1"/>
  <c r="AO65" i="4" s="1"/>
  <c r="AW65" i="4" s="1"/>
  <c r="AU63" i="4"/>
  <c r="AU65" i="4" s="1"/>
  <c r="AR65" i="4"/>
  <c r="AU62" i="4"/>
  <c r="AU64" i="4" s="1"/>
  <c r="AR64" i="4"/>
  <c r="AV63" i="4"/>
  <c r="AR63" i="4"/>
  <c r="AO63" i="4"/>
  <c r="AV62" i="4"/>
  <c r="AR62" i="4"/>
  <c r="AP62" i="4"/>
  <c r="AO62" i="4"/>
  <c r="C62" i="4"/>
  <c r="AY61" i="4"/>
  <c r="AY59" i="4" s="1"/>
  <c r="AO61" i="4" s="1"/>
  <c r="AW61" i="4" s="1"/>
  <c r="AU59" i="4"/>
  <c r="AU61" i="4" s="1"/>
  <c r="AR61" i="4"/>
  <c r="AU58" i="4"/>
  <c r="AU60" i="4" s="1"/>
  <c r="AR60" i="4"/>
  <c r="AV59" i="4"/>
  <c r="AR59" i="4"/>
  <c r="AO59" i="4"/>
  <c r="AV58" i="4"/>
  <c r="AR58" i="4"/>
  <c r="AP58" i="4"/>
  <c r="AO58" i="4"/>
  <c r="C58" i="4"/>
  <c r="AY177" i="4"/>
  <c r="AY175" i="4" s="1"/>
  <c r="AO177" i="4" s="1"/>
  <c r="AW177" i="4" s="1"/>
  <c r="AU175" i="4"/>
  <c r="AU177" i="4" s="1"/>
  <c r="AR177" i="4"/>
  <c r="AY176" i="4"/>
  <c r="AY174" i="4" s="1"/>
  <c r="AO176" i="4" s="1"/>
  <c r="AW176" i="4" s="1"/>
  <c r="AO162" i="4"/>
  <c r="AV162" i="4"/>
  <c r="AY164" i="4"/>
  <c r="AY162" i="4" s="1"/>
  <c r="AO164" i="4" s="1"/>
  <c r="AW164" i="4" s="1"/>
  <c r="AO163" i="4"/>
  <c r="AV163" i="4"/>
  <c r="AY165" i="4"/>
  <c r="AY163" i="4" s="1"/>
  <c r="AO165" i="4" s="1"/>
  <c r="AW165" i="4" s="1"/>
  <c r="AU162" i="4"/>
  <c r="AU164" i="4" s="1"/>
  <c r="AU163" i="4"/>
  <c r="AU165" i="4" s="1"/>
  <c r="AP162" i="4"/>
  <c r="AY40" i="4"/>
  <c r="AY38" i="4" s="1"/>
  <c r="AO40" i="4" s="1"/>
  <c r="AW40" i="4" s="1"/>
  <c r="AY44" i="4"/>
  <c r="AY42" i="4" s="1"/>
  <c r="AO44" i="4" s="1"/>
  <c r="AW44" i="4" s="1"/>
  <c r="AY48" i="4"/>
  <c r="AY46" i="4" s="1"/>
  <c r="AO48" i="4" s="1"/>
  <c r="AW48" i="4" s="1"/>
  <c r="AY52" i="4"/>
  <c r="AY50" i="4" s="1"/>
  <c r="AO52" i="4" s="1"/>
  <c r="AW52" i="4" s="1"/>
  <c r="AY56" i="4"/>
  <c r="AY54" i="4" s="1"/>
  <c r="AO56" i="4" s="1"/>
  <c r="AW56" i="4" s="1"/>
  <c r="AY120" i="4"/>
  <c r="AY118" i="4" s="1"/>
  <c r="AO120" i="4" s="1"/>
  <c r="AW120" i="4" s="1"/>
  <c r="AY124" i="4"/>
  <c r="AY122" i="4" s="1"/>
  <c r="AO124" i="4" s="1"/>
  <c r="AW124" i="4" s="1"/>
  <c r="AY128" i="4"/>
  <c r="AY126" i="4" s="1"/>
  <c r="AO128" i="4" s="1"/>
  <c r="AW128" i="4" s="1"/>
  <c r="AY132" i="4"/>
  <c r="AY130" i="4" s="1"/>
  <c r="AO132" i="4" s="1"/>
  <c r="AW132" i="4" s="1"/>
  <c r="AY136" i="4"/>
  <c r="AY134" i="4" s="1"/>
  <c r="AO136" i="4" s="1"/>
  <c r="AW136" i="4" s="1"/>
  <c r="AY140" i="4"/>
  <c r="AY138" i="4" s="1"/>
  <c r="AO140" i="4" s="1"/>
  <c r="AW140" i="4" s="1"/>
  <c r="AY144" i="4"/>
  <c r="AY142" i="4" s="1"/>
  <c r="AO144" i="4" s="1"/>
  <c r="AW144" i="4" s="1"/>
  <c r="AY148" i="4"/>
  <c r="AY146" i="4" s="1"/>
  <c r="AO148" i="4" s="1"/>
  <c r="AW148" i="4" s="1"/>
  <c r="AY152" i="4"/>
  <c r="AY150" i="4" s="1"/>
  <c r="AO152" i="4" s="1"/>
  <c r="AW152" i="4" s="1"/>
  <c r="AY156" i="4"/>
  <c r="AY154" i="4" s="1"/>
  <c r="AO156" i="4" s="1"/>
  <c r="AW156" i="4" s="1"/>
  <c r="AY160" i="4"/>
  <c r="AY158" i="4" s="1"/>
  <c r="AO160" i="4" s="1"/>
  <c r="AW160" i="4" s="1"/>
  <c r="AY168" i="4"/>
  <c r="AY166" i="4" s="1"/>
  <c r="AO168" i="4" s="1"/>
  <c r="AW168" i="4" s="1"/>
  <c r="AY172" i="4"/>
  <c r="AY170" i="4" s="1"/>
  <c r="AO172" i="4" s="1"/>
  <c r="AW172" i="4" s="1"/>
  <c r="AU174" i="4"/>
  <c r="AU176" i="4" s="1"/>
  <c r="AR176" i="4"/>
  <c r="AV175" i="4"/>
  <c r="AR175" i="4"/>
  <c r="AO175" i="4"/>
  <c r="AV174" i="4"/>
  <c r="AR174" i="4"/>
  <c r="AP174" i="4"/>
  <c r="AO174" i="4"/>
  <c r="AY173" i="4"/>
  <c r="AY171" i="4" s="1"/>
  <c r="AO173" i="4" s="1"/>
  <c r="AW173" i="4" s="1"/>
  <c r="AU171" i="4"/>
  <c r="AU173" i="4" s="1"/>
  <c r="AR173" i="4"/>
  <c r="AU170" i="4"/>
  <c r="AU172" i="4" s="1"/>
  <c r="AR172" i="4"/>
  <c r="AV171" i="4"/>
  <c r="AR171" i="4"/>
  <c r="AO171" i="4"/>
  <c r="AV170" i="4"/>
  <c r="AR170" i="4"/>
  <c r="AP170" i="4"/>
  <c r="AO170" i="4"/>
  <c r="C170" i="4"/>
  <c r="BA166" i="4"/>
  <c r="BB169" i="4" s="1"/>
  <c r="AY169" i="4"/>
  <c r="AY167" i="4" s="1"/>
  <c r="AO169" i="4" s="1"/>
  <c r="AW169" i="4" s="1"/>
  <c r="AU167" i="4"/>
  <c r="AU169" i="4" s="1"/>
  <c r="AR169" i="4"/>
  <c r="AU166" i="4"/>
  <c r="AU168" i="4" s="1"/>
  <c r="AR168" i="4"/>
  <c r="BA167" i="4"/>
  <c r="AV167" i="4"/>
  <c r="AR167" i="4"/>
  <c r="AO167" i="4"/>
  <c r="AV166" i="4"/>
  <c r="AR166" i="4"/>
  <c r="AP166" i="4"/>
  <c r="AO166" i="4"/>
  <c r="C166" i="4"/>
  <c r="AR165" i="4"/>
  <c r="AR164" i="4"/>
  <c r="AR163" i="4"/>
  <c r="AR162" i="4"/>
  <c r="AY161" i="4"/>
  <c r="AY159" i="4" s="1"/>
  <c r="AO161" i="4" s="1"/>
  <c r="AW161" i="4" s="1"/>
  <c r="AU159" i="4"/>
  <c r="AU161" i="4" s="1"/>
  <c r="AR161" i="4"/>
  <c r="AU158" i="4"/>
  <c r="AU160" i="4" s="1"/>
  <c r="AR160" i="4"/>
  <c r="AV159" i="4"/>
  <c r="AR159" i="4"/>
  <c r="AO159" i="4"/>
  <c r="AV158" i="4"/>
  <c r="AR158" i="4"/>
  <c r="AP158" i="4"/>
  <c r="AO158" i="4"/>
  <c r="C158" i="4"/>
  <c r="AY157" i="4"/>
  <c r="AY155" i="4" s="1"/>
  <c r="AO157" i="4" s="1"/>
  <c r="AW157" i="4" s="1"/>
  <c r="AU155" i="4"/>
  <c r="AU157" i="4" s="1"/>
  <c r="AR157" i="4"/>
  <c r="AU154" i="4"/>
  <c r="AU156" i="4" s="1"/>
  <c r="AR156" i="4"/>
  <c r="AV155" i="4"/>
  <c r="AR155" i="4"/>
  <c r="AO155" i="4"/>
  <c r="AV154" i="4"/>
  <c r="AR154" i="4"/>
  <c r="AP154" i="4"/>
  <c r="AO154" i="4"/>
  <c r="AY153" i="4"/>
  <c r="AY151" i="4" s="1"/>
  <c r="AO153" i="4" s="1"/>
  <c r="AW153" i="4" s="1"/>
  <c r="AU151" i="4"/>
  <c r="AU153" i="4" s="1"/>
  <c r="AR153" i="4"/>
  <c r="AU150" i="4"/>
  <c r="AU152" i="4" s="1"/>
  <c r="AR152" i="4"/>
  <c r="AV151" i="4"/>
  <c r="AR151" i="4"/>
  <c r="AO151" i="4"/>
  <c r="AV150" i="4"/>
  <c r="AR150" i="4"/>
  <c r="AP150" i="4"/>
  <c r="AO150" i="4"/>
  <c r="AY149" i="4"/>
  <c r="AY147" i="4" s="1"/>
  <c r="AO149" i="4" s="1"/>
  <c r="AW149" i="4" s="1"/>
  <c r="AU147" i="4"/>
  <c r="AU149" i="4" s="1"/>
  <c r="AR149" i="4"/>
  <c r="AU146" i="4"/>
  <c r="AU148" i="4" s="1"/>
  <c r="AR148" i="4"/>
  <c r="AV147" i="4"/>
  <c r="AR147" i="4"/>
  <c r="AO147" i="4"/>
  <c r="AV146" i="4"/>
  <c r="AR146" i="4"/>
  <c r="AP146" i="4"/>
  <c r="AO146" i="4"/>
  <c r="AY145" i="4"/>
  <c r="AY143" i="4" s="1"/>
  <c r="AO145" i="4" s="1"/>
  <c r="AW145" i="4" s="1"/>
  <c r="AU143" i="4"/>
  <c r="AU145" i="4" s="1"/>
  <c r="AR145" i="4"/>
  <c r="AU142" i="4"/>
  <c r="AU144" i="4" s="1"/>
  <c r="AR144" i="4"/>
  <c r="BA143" i="4"/>
  <c r="AV143" i="4"/>
  <c r="AR143" i="4"/>
  <c r="AO143" i="4"/>
  <c r="AV142" i="4"/>
  <c r="AR142" i="4"/>
  <c r="AP142" i="4"/>
  <c r="AO142" i="4"/>
  <c r="BA141" i="4"/>
  <c r="AY141" i="4"/>
  <c r="AY139" i="4" s="1"/>
  <c r="AO141" i="4" s="1"/>
  <c r="AW141" i="4" s="1"/>
  <c r="AU139" i="4"/>
  <c r="AU141" i="4" s="1"/>
  <c r="AR141" i="4"/>
  <c r="AU138" i="4"/>
  <c r="AU140" i="4" s="1"/>
  <c r="AR140" i="4"/>
  <c r="AV139" i="4"/>
  <c r="AR139" i="4"/>
  <c r="AO139" i="4"/>
  <c r="AV138" i="4"/>
  <c r="AR138" i="4"/>
  <c r="AP138" i="4"/>
  <c r="AO138" i="4"/>
  <c r="C138" i="4"/>
  <c r="AY137" i="4"/>
  <c r="AY135" i="4" s="1"/>
  <c r="AO137" i="4" s="1"/>
  <c r="AW137" i="4" s="1"/>
  <c r="AU135" i="4"/>
  <c r="AU137" i="4" s="1"/>
  <c r="AB197" i="4"/>
  <c r="AD197" i="4"/>
  <c r="AR137" i="4"/>
  <c r="AU134" i="4"/>
  <c r="AU136" i="4" s="1"/>
  <c r="AR136" i="4"/>
  <c r="AV135" i="4"/>
  <c r="AR135" i="4"/>
  <c r="AO135" i="4"/>
  <c r="AV134" i="4"/>
  <c r="AR134" i="4"/>
  <c r="AP134" i="4"/>
  <c r="AO134" i="4"/>
  <c r="AY133" i="4"/>
  <c r="AY131" i="4" s="1"/>
  <c r="AO133" i="4" s="1"/>
  <c r="AW133" i="4" s="1"/>
  <c r="AU131" i="4"/>
  <c r="AU133" i="4" s="1"/>
  <c r="AR133" i="4"/>
  <c r="AU130" i="4"/>
  <c r="AU132" i="4" s="1"/>
  <c r="AR132" i="4"/>
  <c r="AV131" i="4"/>
  <c r="AR131" i="4"/>
  <c r="AO131" i="4"/>
  <c r="AV130" i="4"/>
  <c r="AR130" i="4"/>
  <c r="AP130" i="4"/>
  <c r="AO130" i="4"/>
  <c r="C130" i="4"/>
  <c r="AY129" i="4"/>
  <c r="AY127" i="4" s="1"/>
  <c r="AO129" i="4" s="1"/>
  <c r="AW129" i="4" s="1"/>
  <c r="AU127" i="4"/>
  <c r="AU129" i="4" s="1"/>
  <c r="AR129" i="4"/>
  <c r="AU126" i="4"/>
  <c r="AU128" i="4" s="1"/>
  <c r="AR128" i="4"/>
  <c r="AV127" i="4"/>
  <c r="AR127" i="4"/>
  <c r="AO127" i="4"/>
  <c r="AV126" i="4"/>
  <c r="AR126" i="4"/>
  <c r="AP126" i="4"/>
  <c r="AO126" i="4"/>
  <c r="C126" i="4"/>
  <c r="BA125" i="4"/>
  <c r="AY125" i="4"/>
  <c r="AY123" i="4" s="1"/>
  <c r="AO125" i="4" s="1"/>
  <c r="AW125" i="4" s="1"/>
  <c r="AU123" i="4"/>
  <c r="AU125" i="4" s="1"/>
  <c r="AR125" i="4"/>
  <c r="AU122" i="4"/>
  <c r="AU124" i="4" s="1"/>
  <c r="AR124" i="4"/>
  <c r="AV123" i="4"/>
  <c r="AR123" i="4"/>
  <c r="AO123" i="4"/>
  <c r="AV122" i="4"/>
  <c r="AR122" i="4"/>
  <c r="AP122" i="4"/>
  <c r="AO122" i="4"/>
  <c r="C122" i="4"/>
  <c r="AY121" i="4"/>
  <c r="AY119" i="4" s="1"/>
  <c r="AO121" i="4" s="1"/>
  <c r="AW121" i="4" s="1"/>
  <c r="AU119" i="4"/>
  <c r="AU121" i="4" s="1"/>
  <c r="AR121" i="4"/>
  <c r="AU118" i="4"/>
  <c r="AU120" i="4" s="1"/>
  <c r="AR120" i="4"/>
  <c r="BA119" i="4"/>
  <c r="AV119" i="4"/>
  <c r="AR119" i="4"/>
  <c r="AO119" i="4"/>
  <c r="AV118" i="4"/>
  <c r="AR118" i="4"/>
  <c r="AP118" i="4"/>
  <c r="AO118" i="4"/>
  <c r="C186" i="4"/>
  <c r="C182" i="4"/>
  <c r="C42" i="4"/>
  <c r="C38" i="4"/>
  <c r="C34" i="4"/>
  <c r="S14" i="4"/>
  <c r="S15" i="4"/>
  <c r="S16" i="4"/>
  <c r="S17" i="4"/>
  <c r="AO18" i="4"/>
  <c r="AV18" i="4"/>
  <c r="AO19" i="4"/>
  <c r="AV19" i="4"/>
  <c r="AU18" i="4"/>
  <c r="AU20" i="4" s="1"/>
  <c r="AR18" i="4"/>
  <c r="AU19" i="4"/>
  <c r="AU21" i="4" s="1"/>
  <c r="AR19" i="4"/>
  <c r="G14" i="4"/>
  <c r="I14" i="4"/>
  <c r="K14" i="4"/>
  <c r="AO14" i="4"/>
  <c r="AP14" i="4"/>
  <c r="AR14" i="4"/>
  <c r="AB17" i="4"/>
  <c r="AU14" i="4"/>
  <c r="AU16" i="4" s="1"/>
  <c r="X17" i="4"/>
  <c r="AD17" i="4"/>
  <c r="AV14" i="4"/>
  <c r="M15" i="4"/>
  <c r="AO15" i="4"/>
  <c r="AP15" i="4"/>
  <c r="AR15" i="4"/>
  <c r="AU15" i="4"/>
  <c r="AU17" i="4" s="1"/>
  <c r="Z17" i="4"/>
  <c r="AV15" i="4"/>
  <c r="AY17" i="4"/>
  <c r="AY15" i="4" s="1"/>
  <c r="AO17" i="4" s="1"/>
  <c r="AW17" i="4" s="1"/>
  <c r="AR16" i="4"/>
  <c r="L17" i="4"/>
  <c r="AR17" i="4"/>
  <c r="AR20" i="4"/>
  <c r="AR21" i="4"/>
  <c r="AR24" i="4"/>
  <c r="AR25" i="4"/>
  <c r="AO26" i="4"/>
  <c r="AP26" i="4"/>
  <c r="AR26" i="4"/>
  <c r="AU26" i="4"/>
  <c r="AU28" i="4" s="1"/>
  <c r="AV26" i="4"/>
  <c r="AO27" i="4"/>
  <c r="AR27" i="4"/>
  <c r="AU27" i="4"/>
  <c r="AU29" i="4" s="1"/>
  <c r="AV27" i="4"/>
  <c r="AR28" i="4"/>
  <c r="AR29" i="4"/>
  <c r="AO30" i="4"/>
  <c r="AP30" i="4"/>
  <c r="AR30" i="4"/>
  <c r="AU30" i="4"/>
  <c r="AU32" i="4" s="1"/>
  <c r="AV30" i="4"/>
  <c r="AO31" i="4"/>
  <c r="AR31" i="4"/>
  <c r="AU31" i="4"/>
  <c r="AU33" i="4" s="1"/>
  <c r="AV31" i="4"/>
  <c r="AY33" i="4"/>
  <c r="AY31" i="4" s="1"/>
  <c r="AO33" i="4" s="1"/>
  <c r="AW33" i="4" s="1"/>
  <c r="AR32" i="4"/>
  <c r="AR33" i="4"/>
  <c r="AO34" i="4"/>
  <c r="AP34" i="4"/>
  <c r="AR34" i="4"/>
  <c r="AU34" i="4"/>
  <c r="AU36" i="4" s="1"/>
  <c r="AV34" i="4"/>
  <c r="AO35" i="4"/>
  <c r="AR35" i="4"/>
  <c r="AU35" i="4"/>
  <c r="AU37" i="4" s="1"/>
  <c r="AV35" i="4"/>
  <c r="AY37" i="4"/>
  <c r="AY35" i="4" s="1"/>
  <c r="AO37" i="4" s="1"/>
  <c r="AW37" i="4" s="1"/>
  <c r="AR36" i="4"/>
  <c r="AR37" i="4"/>
  <c r="AO38" i="4"/>
  <c r="AP38" i="4"/>
  <c r="AR38" i="4"/>
  <c r="AU38" i="4"/>
  <c r="AU40" i="4" s="1"/>
  <c r="AV38" i="4"/>
  <c r="AO39" i="4"/>
  <c r="AR39" i="4"/>
  <c r="AU39" i="4"/>
  <c r="AU41" i="4" s="1"/>
  <c r="AV39" i="4"/>
  <c r="AY41" i="4"/>
  <c r="AY39" i="4" s="1"/>
  <c r="AO41" i="4" s="1"/>
  <c r="AW41" i="4" s="1"/>
  <c r="AR40" i="4"/>
  <c r="AR41" i="4"/>
  <c r="AO42" i="4"/>
  <c r="AP42" i="4"/>
  <c r="AR42" i="4"/>
  <c r="AU42" i="4"/>
  <c r="AU44" i="4" s="1"/>
  <c r="AV42" i="4"/>
  <c r="AO43" i="4"/>
  <c r="AR43" i="4"/>
  <c r="AU43" i="4"/>
  <c r="AU45" i="4" s="1"/>
  <c r="AV43" i="4"/>
  <c r="AY45" i="4"/>
  <c r="AY43" i="4" s="1"/>
  <c r="AO45" i="4" s="1"/>
  <c r="AW45" i="4" s="1"/>
  <c r="AR44" i="4"/>
  <c r="AR45" i="4"/>
  <c r="AO46" i="4"/>
  <c r="AP46" i="4"/>
  <c r="AR46" i="4"/>
  <c r="AU46" i="4"/>
  <c r="AU48" i="4" s="1"/>
  <c r="AV46" i="4"/>
  <c r="AO47" i="4"/>
  <c r="AR47" i="4"/>
  <c r="AU47" i="4"/>
  <c r="AU49" i="4" s="1"/>
  <c r="AV47" i="4"/>
  <c r="AY49" i="4"/>
  <c r="AY47" i="4" s="1"/>
  <c r="AO49" i="4" s="1"/>
  <c r="AW49" i="4" s="1"/>
  <c r="AR48" i="4"/>
  <c r="AR49" i="4"/>
  <c r="AO50" i="4"/>
  <c r="AP50" i="4"/>
  <c r="AR50" i="4"/>
  <c r="AU50" i="4"/>
  <c r="AU52" i="4" s="1"/>
  <c r="AV50" i="4"/>
  <c r="AO51" i="4"/>
  <c r="AR51" i="4"/>
  <c r="AU51" i="4"/>
  <c r="AU53" i="4" s="1"/>
  <c r="AV51" i="4"/>
  <c r="AY53" i="4"/>
  <c r="AY51" i="4" s="1"/>
  <c r="AO53" i="4" s="1"/>
  <c r="AW53" i="4" s="1"/>
  <c r="AR52" i="4"/>
  <c r="AR53" i="4"/>
  <c r="AO54" i="4"/>
  <c r="AP54" i="4"/>
  <c r="AR54" i="4"/>
  <c r="AU54" i="4"/>
  <c r="AU56" i="4" s="1"/>
  <c r="AV54" i="4"/>
  <c r="AO55" i="4"/>
  <c r="AR55" i="4"/>
  <c r="AU55" i="4"/>
  <c r="AU57" i="4" s="1"/>
  <c r="AV55" i="4"/>
  <c r="AY57" i="4"/>
  <c r="AY55" i="4" s="1"/>
  <c r="AO57" i="4" s="1"/>
  <c r="AW57" i="4" s="1"/>
  <c r="AR56" i="4"/>
  <c r="AR57" i="4"/>
  <c r="BA178" i="4"/>
  <c r="BB179" i="4" s="1"/>
  <c r="AO178" i="4"/>
  <c r="AP178" i="4"/>
  <c r="AR178" i="4"/>
  <c r="AU178" i="4"/>
  <c r="AU180" i="4" s="1"/>
  <c r="AV178" i="4"/>
  <c r="AY180" i="4"/>
  <c r="AY178" i="4" s="1"/>
  <c r="AO180" i="4" s="1"/>
  <c r="AW180" i="4" s="1"/>
  <c r="AO179" i="4"/>
  <c r="AR179" i="4"/>
  <c r="AU179" i="4"/>
  <c r="AU181" i="4" s="1"/>
  <c r="AV179" i="4"/>
  <c r="AY181" i="4"/>
  <c r="AY179" i="4" s="1"/>
  <c r="AO181" i="4" s="1"/>
  <c r="AW181" i="4" s="1"/>
  <c r="AR180" i="4"/>
  <c r="AR181" i="4"/>
  <c r="BA182" i="4"/>
  <c r="AN182" i="4" s="1"/>
  <c r="AO182" i="4"/>
  <c r="AP182" i="4"/>
  <c r="AR182" i="4"/>
  <c r="AU182" i="4"/>
  <c r="AU184" i="4" s="1"/>
  <c r="AV182" i="4"/>
  <c r="AY184" i="4"/>
  <c r="AY182" i="4" s="1"/>
  <c r="AO184" i="4" s="1"/>
  <c r="AW184" i="4" s="1"/>
  <c r="AO183" i="4"/>
  <c r="BA183" i="4"/>
  <c r="AR183" i="4"/>
  <c r="AU183" i="4"/>
  <c r="AU185" i="4" s="1"/>
  <c r="AV183" i="4"/>
  <c r="AY185" i="4"/>
  <c r="AY183" i="4" s="1"/>
  <c r="AO185" i="4" s="1"/>
  <c r="AW185" i="4" s="1"/>
  <c r="AR184" i="4"/>
  <c r="AR185" i="4"/>
  <c r="AO186" i="4"/>
  <c r="AP186" i="4"/>
  <c r="AR186" i="4"/>
  <c r="AU186" i="4"/>
  <c r="AU188" i="4" s="1"/>
  <c r="AV186" i="4"/>
  <c r="AY188" i="4"/>
  <c r="AY186" i="4" s="1"/>
  <c r="AO188" i="4" s="1"/>
  <c r="AW188" i="4" s="1"/>
  <c r="AO187" i="4"/>
  <c r="AR187" i="4"/>
  <c r="AU187" i="4"/>
  <c r="AU189" i="4" s="1"/>
  <c r="AV187" i="4"/>
  <c r="AY189" i="4"/>
  <c r="AY187" i="4" s="1"/>
  <c r="AO189" i="4" s="1"/>
  <c r="AW189" i="4" s="1"/>
  <c r="AR188" i="4"/>
  <c r="AR189" i="4"/>
  <c r="AO190" i="4"/>
  <c r="AP190" i="4"/>
  <c r="AR190" i="4"/>
  <c r="AU190" i="4"/>
  <c r="AU192" i="4" s="1"/>
  <c r="S194" i="4"/>
  <c r="S195" i="4"/>
  <c r="S196" i="4"/>
  <c r="S197" i="4"/>
  <c r="AV190" i="4"/>
  <c r="AY192" i="4"/>
  <c r="AY190" i="4" s="1"/>
  <c r="AO192" i="4" s="1"/>
  <c r="AW192" i="4" s="1"/>
  <c r="AO191" i="4"/>
  <c r="AR191" i="4"/>
  <c r="AU191" i="4"/>
  <c r="AU193" i="4" s="1"/>
  <c r="AV191" i="4"/>
  <c r="AY193" i="4"/>
  <c r="AY191" i="4" s="1"/>
  <c r="AO193" i="4" s="1"/>
  <c r="AW193" i="4" s="1"/>
  <c r="AR192" i="4"/>
  <c r="AR193" i="4"/>
  <c r="G194" i="4"/>
  <c r="I194" i="4"/>
  <c r="K194" i="4"/>
  <c r="AO194" i="4"/>
  <c r="AP194" i="4"/>
  <c r="AR194" i="4"/>
  <c r="AU194" i="4"/>
  <c r="AU196" i="4" s="1"/>
  <c r="X197" i="4"/>
  <c r="AV194" i="4"/>
  <c r="AY196" i="4"/>
  <c r="AY194" i="4" s="1"/>
  <c r="AO196" i="4" s="1"/>
  <c r="AW196" i="4" s="1"/>
  <c r="M195" i="4"/>
  <c r="AO195" i="4"/>
  <c r="AP195" i="4"/>
  <c r="AR195" i="4"/>
  <c r="AU195" i="4"/>
  <c r="AU197" i="4" s="1"/>
  <c r="Z197" i="4"/>
  <c r="AV195" i="4"/>
  <c r="AY197" i="4"/>
  <c r="AY195" i="4" s="1"/>
  <c r="AO197" i="4" s="1"/>
  <c r="AW197" i="4" s="1"/>
  <c r="AR196" i="4"/>
  <c r="L197" i="4"/>
  <c r="AR197" i="4"/>
  <c r="E4" i="2"/>
  <c r="J4" i="2"/>
  <c r="O4" i="2"/>
  <c r="T4" i="2"/>
  <c r="E5" i="2"/>
  <c r="J5" i="2"/>
  <c r="O5" i="2"/>
  <c r="T5" i="2"/>
  <c r="E6" i="2"/>
  <c r="J6" i="2"/>
  <c r="O6" i="2"/>
  <c r="T6" i="2"/>
  <c r="E7" i="2"/>
  <c r="J7" i="2"/>
  <c r="O7" i="2"/>
  <c r="T7" i="2"/>
  <c r="E8" i="2"/>
  <c r="J8" i="2"/>
  <c r="O8" i="2"/>
  <c r="T8" i="2"/>
  <c r="E9" i="2"/>
  <c r="J9" i="2"/>
  <c r="O9" i="2"/>
  <c r="T9" i="2"/>
  <c r="E10" i="2"/>
  <c r="J10" i="2"/>
  <c r="O10" i="2"/>
  <c r="T10" i="2"/>
  <c r="E11" i="2"/>
  <c r="J11" i="2"/>
  <c r="O11" i="2"/>
  <c r="T11" i="2"/>
  <c r="E12" i="2"/>
  <c r="J12" i="2"/>
  <c r="O12" i="2"/>
  <c r="T12" i="2"/>
  <c r="E13" i="2"/>
  <c r="J13" i="2"/>
  <c r="O13" i="2"/>
  <c r="T13" i="2"/>
  <c r="E14" i="2"/>
  <c r="J14" i="2"/>
  <c r="O14" i="2"/>
  <c r="T14" i="2"/>
  <c r="E15" i="2"/>
  <c r="J15" i="2"/>
  <c r="O15" i="2"/>
  <c r="T15" i="2"/>
  <c r="E16" i="2"/>
  <c r="J16" i="2"/>
  <c r="O16" i="2"/>
  <c r="T16" i="2"/>
  <c r="E20" i="2"/>
  <c r="J20" i="2"/>
  <c r="O20" i="2"/>
  <c r="T20" i="2"/>
  <c r="E21" i="2"/>
  <c r="J21" i="2"/>
  <c r="O21" i="2"/>
  <c r="T21" i="2"/>
  <c r="E22" i="2"/>
  <c r="J22" i="2"/>
  <c r="O22" i="2"/>
  <c r="T22" i="2"/>
  <c r="E23" i="2"/>
  <c r="J23" i="2"/>
  <c r="O23" i="2"/>
  <c r="T23" i="2"/>
  <c r="E24" i="2"/>
  <c r="J24" i="2"/>
  <c r="O24" i="2"/>
  <c r="T24" i="2"/>
  <c r="E25" i="2"/>
  <c r="J25" i="2"/>
  <c r="O25" i="2"/>
  <c r="T25" i="2"/>
  <c r="E26" i="2"/>
  <c r="J26" i="2"/>
  <c r="O26" i="2"/>
  <c r="T26" i="2"/>
  <c r="E27" i="2"/>
  <c r="J27" i="2"/>
  <c r="O27" i="2"/>
  <c r="T27" i="2"/>
  <c r="E28" i="2"/>
  <c r="J28" i="2"/>
  <c r="O28" i="2"/>
  <c r="T28" i="2"/>
  <c r="E29" i="2"/>
  <c r="J29" i="2"/>
  <c r="O29" i="2"/>
  <c r="T29" i="2"/>
  <c r="E30" i="2"/>
  <c r="J30" i="2"/>
  <c r="O30" i="2"/>
  <c r="T30" i="2"/>
  <c r="E31" i="2"/>
  <c r="J31" i="2"/>
  <c r="O31" i="2"/>
  <c r="T31" i="2"/>
  <c r="E32" i="2"/>
  <c r="J32" i="2"/>
  <c r="O32" i="2"/>
  <c r="T32" i="2"/>
  <c r="E33" i="2"/>
  <c r="J33" i="2"/>
  <c r="O33" i="2"/>
  <c r="T33" i="2"/>
  <c r="E34" i="2"/>
  <c r="J34" i="2"/>
  <c r="O34" i="2"/>
  <c r="T34" i="2"/>
  <c r="E38" i="2"/>
  <c r="J38" i="2"/>
  <c r="E39" i="2"/>
  <c r="J39" i="2"/>
  <c r="E40" i="2"/>
  <c r="J40" i="2"/>
  <c r="E41" i="2"/>
  <c r="J41" i="2"/>
  <c r="E42" i="2"/>
  <c r="J42" i="2"/>
  <c r="E43" i="2"/>
  <c r="J43" i="2"/>
  <c r="E44" i="2"/>
  <c r="J44" i="2"/>
  <c r="E45" i="2"/>
  <c r="J45" i="2"/>
  <c r="E46" i="2"/>
  <c r="J46" i="2"/>
  <c r="E47" i="2"/>
  <c r="J47" i="2"/>
  <c r="E48" i="2"/>
  <c r="J48" i="2"/>
  <c r="E49" i="2"/>
  <c r="J49" i="2"/>
  <c r="E50" i="2"/>
  <c r="J50" i="2"/>
  <c r="E51" i="2"/>
  <c r="J51" i="2"/>
  <c r="E52" i="2"/>
  <c r="J52" i="2"/>
  <c r="AN69" i="4" l="1"/>
  <c r="BB66" i="4"/>
  <c r="BA15" i="4"/>
  <c r="BA57" i="4"/>
  <c r="BA93" i="4"/>
  <c r="BA79" i="4"/>
  <c r="BA96" i="4"/>
  <c r="U94" i="4" s="1"/>
  <c r="BA132" i="4"/>
  <c r="AV132" i="4" s="1"/>
  <c r="BA124" i="4"/>
  <c r="U124" i="4" s="1"/>
  <c r="BA126" i="4"/>
  <c r="BB126" i="4" s="1"/>
  <c r="BA40" i="4"/>
  <c r="AV40" i="4" s="1"/>
  <c r="BA63" i="4"/>
  <c r="BA187" i="4"/>
  <c r="BA186" i="4"/>
  <c r="AQ186" i="4" s="1"/>
  <c r="BA121" i="4"/>
  <c r="BA138" i="4"/>
  <c r="BB140" i="4" s="1"/>
  <c r="BA53" i="4"/>
  <c r="BA43" i="4"/>
  <c r="BA175" i="4"/>
  <c r="BA55" i="4"/>
  <c r="BA75" i="4"/>
  <c r="BA139" i="4"/>
  <c r="BA34" i="4"/>
  <c r="AQ34" i="4" s="1"/>
  <c r="BA72" i="4"/>
  <c r="U73" i="4" s="1"/>
  <c r="BA165" i="4"/>
  <c r="BA134" i="4"/>
  <c r="AN137" i="4" s="1"/>
  <c r="BA170" i="4"/>
  <c r="BB173" i="4" s="1"/>
  <c r="BA162" i="4"/>
  <c r="AN164" i="4" s="1"/>
  <c r="BA151" i="4"/>
  <c r="BA145" i="4"/>
  <c r="BA146" i="4"/>
  <c r="BB148" i="4" s="1"/>
  <c r="AI71" i="4"/>
  <c r="BA27" i="4"/>
  <c r="AN93" i="4"/>
  <c r="AQ90" i="4"/>
  <c r="AN91" i="4"/>
  <c r="U39" i="4"/>
  <c r="BA161" i="4"/>
  <c r="BA20" i="4"/>
  <c r="AV20" i="4" s="1"/>
  <c r="BA154" i="4"/>
  <c r="AQ154" i="4" s="1"/>
  <c r="BA193" i="4"/>
  <c r="BA158" i="4"/>
  <c r="AN159" i="4" s="1"/>
  <c r="BA56" i="4"/>
  <c r="AX54" i="4" s="1"/>
  <c r="AF57" i="4" s="1"/>
  <c r="AX62" i="4"/>
  <c r="AF65" i="4" s="1"/>
  <c r="BA172" i="4"/>
  <c r="AV172" i="4" s="1"/>
  <c r="BA113" i="4"/>
  <c r="U138" i="4"/>
  <c r="BA45" i="4"/>
  <c r="BA131" i="4"/>
  <c r="BB135" i="4"/>
  <c r="BA137" i="4"/>
  <c r="BA142" i="4"/>
  <c r="BB145" i="4" s="1"/>
  <c r="BA60" i="4"/>
  <c r="U61" i="4" s="1"/>
  <c r="BA76" i="4"/>
  <c r="U77" i="4" s="1"/>
  <c r="BA112" i="4"/>
  <c r="U111" i="4" s="1"/>
  <c r="BA144" i="4"/>
  <c r="AV144" i="4" s="1"/>
  <c r="BA160" i="4"/>
  <c r="AG158" i="4" s="1"/>
  <c r="AG159" i="4" s="1"/>
  <c r="BA157" i="4"/>
  <c r="BA174" i="4"/>
  <c r="BB175" i="4" s="1"/>
  <c r="BA190" i="4"/>
  <c r="AN190" i="4" s="1"/>
  <c r="BA153" i="4"/>
  <c r="BA173" i="4"/>
  <c r="BA122" i="4"/>
  <c r="AN124" i="4" s="1"/>
  <c r="BA42" i="4"/>
  <c r="AQ42" i="4" s="1"/>
  <c r="BA149" i="4"/>
  <c r="BA155" i="4"/>
  <c r="BA35" i="4"/>
  <c r="BA69" i="4"/>
  <c r="BA62" i="4"/>
  <c r="BA83" i="4"/>
  <c r="BA169" i="4"/>
  <c r="BA163" i="4"/>
  <c r="BA181" i="4"/>
  <c r="BA14" i="4"/>
  <c r="BB15" i="4" s="1"/>
  <c r="BA97" i="4"/>
  <c r="BA92" i="4"/>
  <c r="U90" i="4" s="1"/>
  <c r="BA70" i="4"/>
  <c r="AQ70" i="4" s="1"/>
  <c r="BA195" i="4"/>
  <c r="BA16" i="4"/>
  <c r="BA133" i="4"/>
  <c r="BA52" i="4"/>
  <c r="U50" i="4" s="1"/>
  <c r="BA156" i="4"/>
  <c r="U157" i="4" s="1"/>
  <c r="BA192" i="4"/>
  <c r="AX190" i="4" s="1"/>
  <c r="AF193" i="4" s="1"/>
  <c r="BB187" i="4"/>
  <c r="BA95" i="4"/>
  <c r="BA196" i="4"/>
  <c r="U196" i="4" s="1"/>
  <c r="BA130" i="4"/>
  <c r="BB133" i="4" s="1"/>
  <c r="BA135" i="4"/>
  <c r="BA110" i="4"/>
  <c r="BB111" i="4" s="1"/>
  <c r="BA51" i="4"/>
  <c r="BA78" i="4"/>
  <c r="BB79" i="4" s="1"/>
  <c r="BA108" i="4"/>
  <c r="U109" i="4" s="1"/>
  <c r="BA136" i="4"/>
  <c r="AI135" i="4" s="1"/>
  <c r="BA176" i="4"/>
  <c r="BA188" i="4"/>
  <c r="AV188" i="4" s="1"/>
  <c r="AV140" i="4"/>
  <c r="AN143" i="4"/>
  <c r="AN160" i="4"/>
  <c r="U177" i="4"/>
  <c r="AN173" i="4"/>
  <c r="AV176" i="4"/>
  <c r="AN167" i="4"/>
  <c r="AV164" i="4"/>
  <c r="AQ166" i="4"/>
  <c r="AI39" i="4"/>
  <c r="AN44" i="4"/>
  <c r="AN52" i="4"/>
  <c r="AN166" i="4"/>
  <c r="BB166" i="4"/>
  <c r="AN168" i="4"/>
  <c r="BB164" i="4"/>
  <c r="AN162" i="4"/>
  <c r="BB45" i="4"/>
  <c r="AN169" i="4"/>
  <c r="U35" i="4"/>
  <c r="U141" i="4"/>
  <c r="U160" i="4"/>
  <c r="BB53" i="4"/>
  <c r="AI139" i="4"/>
  <c r="U139" i="4"/>
  <c r="U158" i="4"/>
  <c r="BB118" i="4"/>
  <c r="AV160" i="4"/>
  <c r="BA19" i="4"/>
  <c r="AN138" i="4"/>
  <c r="BI18" i="4"/>
  <c r="BI22" i="4" s="1"/>
  <c r="BI26" i="4" s="1"/>
  <c r="BI30" i="4" s="1"/>
  <c r="BI34" i="4" s="1"/>
  <c r="BI38" i="4" s="1"/>
  <c r="BI42" i="4" s="1"/>
  <c r="BI46" i="4" s="1"/>
  <c r="BI50" i="4" s="1"/>
  <c r="BI54" i="4" s="1"/>
  <c r="BI58" i="4" s="1"/>
  <c r="BI62" i="4" s="1"/>
  <c r="BI66" i="4" s="1"/>
  <c r="BI70" i="4" s="1"/>
  <c r="BI74" i="4" s="1"/>
  <c r="BI78" i="4" s="1"/>
  <c r="BI82" i="4" s="1"/>
  <c r="BI86" i="4" s="1"/>
  <c r="BI90" i="4" s="1"/>
  <c r="BI94" i="4" s="1"/>
  <c r="BI98" i="4" s="1"/>
  <c r="BI102" i="4" s="1"/>
  <c r="BI106" i="4" s="1"/>
  <c r="BI110" i="4" s="1"/>
  <c r="BI114" i="4" s="1"/>
  <c r="BI118" i="4" s="1"/>
  <c r="BI122" i="4" s="1"/>
  <c r="BI126" i="4" s="1"/>
  <c r="BI130" i="4" s="1"/>
  <c r="BI134" i="4" s="1"/>
  <c r="BI138" i="4" s="1"/>
  <c r="BI142" i="4" s="1"/>
  <c r="BI146" i="4" s="1"/>
  <c r="BI150" i="4" s="1"/>
  <c r="BI154" i="4" s="1"/>
  <c r="BI158" i="4" s="1"/>
  <c r="BI162" i="4" s="1"/>
  <c r="BI166" i="4" s="1"/>
  <c r="BI170" i="4" s="1"/>
  <c r="BI174" i="4" s="1"/>
  <c r="BI178" i="4" s="1"/>
  <c r="BI182" i="4" s="1"/>
  <c r="BI186" i="4" s="1"/>
  <c r="BI190" i="4" s="1"/>
  <c r="BD198" i="4" s="1"/>
  <c r="AX64" i="4"/>
  <c r="AX68" i="4" s="1"/>
  <c r="AX72" i="4" s="1"/>
  <c r="AX76" i="4" s="1"/>
  <c r="U131" i="4"/>
  <c r="U130" i="4"/>
  <c r="AQ190" i="4"/>
  <c r="BB184" i="4"/>
  <c r="AQ182" i="4"/>
  <c r="AN131" i="4"/>
  <c r="AN144" i="4"/>
  <c r="BB182" i="4"/>
  <c r="AQ130" i="4"/>
  <c r="BB132" i="4"/>
  <c r="BB193" i="4"/>
  <c r="AN185" i="4"/>
  <c r="BB185" i="4"/>
  <c r="AN118" i="4"/>
  <c r="BB130" i="4"/>
  <c r="BB131" i="4"/>
  <c r="BB138" i="4"/>
  <c r="BB139" i="4"/>
  <c r="AN142" i="4"/>
  <c r="AI138" i="4"/>
  <c r="AG140" i="4"/>
  <c r="AX50" i="4"/>
  <c r="AF53" i="4" s="1"/>
  <c r="U53" i="4"/>
  <c r="AV52" i="4"/>
  <c r="U96" i="4"/>
  <c r="U97" i="4"/>
  <c r="AX94" i="4"/>
  <c r="AF97" i="4" s="1"/>
  <c r="AV96" i="4"/>
  <c r="AN156" i="4"/>
  <c r="U195" i="4"/>
  <c r="AV196" i="4"/>
  <c r="U194" i="4"/>
  <c r="AG194" i="4"/>
  <c r="U197" i="4"/>
  <c r="AX194" i="4"/>
  <c r="AF197" i="4" s="1"/>
  <c r="U54" i="4"/>
  <c r="AN71" i="4"/>
  <c r="BB186" i="4"/>
  <c r="BB188" i="4"/>
  <c r="AN178" i="4"/>
  <c r="AN180" i="4"/>
  <c r="BB50" i="4"/>
  <c r="BB52" i="4"/>
  <c r="BB42" i="4"/>
  <c r="BB34" i="4"/>
  <c r="AF14" i="4"/>
  <c r="AV16" i="4"/>
  <c r="AV17" i="4" s="1"/>
  <c r="U16" i="4"/>
  <c r="AX14" i="4"/>
  <c r="AF17" i="4" s="1"/>
  <c r="AQ14" i="4"/>
  <c r="AN147" i="4"/>
  <c r="BB69" i="4"/>
  <c r="BB68" i="4"/>
  <c r="AN68" i="4"/>
  <c r="BB113" i="4"/>
  <c r="BB112" i="4"/>
  <c r="AX16" i="4"/>
  <c r="U18" i="4"/>
  <c r="AG35" i="4"/>
  <c r="AG36" i="4"/>
  <c r="AI34" i="4"/>
  <c r="BA48" i="4"/>
  <c r="BA47" i="4"/>
  <c r="BA49" i="4"/>
  <c r="U71" i="4"/>
  <c r="AX70" i="4"/>
  <c r="AF73" i="4" s="1"/>
  <c r="AV72" i="4"/>
  <c r="AG70" i="4"/>
  <c r="U70" i="4"/>
  <c r="U72" i="4"/>
  <c r="U83" i="4"/>
  <c r="U84" i="4"/>
  <c r="AI83" i="4"/>
  <c r="AV84" i="4"/>
  <c r="U85" i="4"/>
  <c r="AX82" i="4"/>
  <c r="AF85" i="4" s="1"/>
  <c r="AG82" i="4"/>
  <c r="U106" i="4"/>
  <c r="U108" i="4"/>
  <c r="AI107" i="4"/>
  <c r="AV108" i="4"/>
  <c r="AG106" i="4"/>
  <c r="BA104" i="4"/>
  <c r="BA103" i="4"/>
  <c r="BA100" i="4"/>
  <c r="BA101" i="4"/>
  <c r="BA99" i="4"/>
  <c r="AN128" i="4"/>
  <c r="U123" i="4"/>
  <c r="AX122" i="4"/>
  <c r="AF125" i="4" s="1"/>
  <c r="U125" i="4"/>
  <c r="AI123" i="4"/>
  <c r="BB123" i="4"/>
  <c r="AG160" i="4"/>
  <c r="BA197" i="4"/>
  <c r="BB191" i="4"/>
  <c r="BB183" i="4"/>
  <c r="AQ178" i="4"/>
  <c r="AN53" i="4"/>
  <c r="BB51" i="4"/>
  <c r="AN45" i="4"/>
  <c r="AN37" i="4"/>
  <c r="BB35" i="4"/>
  <c r="BA17" i="4"/>
  <c r="AN16" i="4"/>
  <c r="BB121" i="4"/>
  <c r="BB120" i="4"/>
  <c r="AN120" i="4"/>
  <c r="BB146" i="4"/>
  <c r="AN171" i="4"/>
  <c r="AN170" i="4"/>
  <c r="BA61" i="4"/>
  <c r="BB67" i="4"/>
  <c r="BA71" i="4"/>
  <c r="BA85" i="4"/>
  <c r="BB93" i="4"/>
  <c r="BB92" i="4"/>
  <c r="AN92" i="4"/>
  <c r="BB91" i="4"/>
  <c r="BA94" i="4"/>
  <c r="BA105" i="4"/>
  <c r="BA109" i="4"/>
  <c r="U34" i="4"/>
  <c r="U37" i="4"/>
  <c r="AX34" i="4"/>
  <c r="AF37" i="4" s="1"/>
  <c r="AV36" i="4"/>
  <c r="AG62" i="4"/>
  <c r="U65" i="4"/>
  <c r="AI63" i="4"/>
  <c r="AV64" i="4"/>
  <c r="U63" i="4"/>
  <c r="U64" i="4"/>
  <c r="AN65" i="4"/>
  <c r="BA59" i="4"/>
  <c r="AX74" i="4"/>
  <c r="AF77" i="4" s="1"/>
  <c r="AG74" i="4"/>
  <c r="AI75" i="4"/>
  <c r="U82" i="4"/>
  <c r="AV92" i="4"/>
  <c r="U92" i="4"/>
  <c r="AX90" i="4"/>
  <c r="AF93" i="4" s="1"/>
  <c r="U107" i="4"/>
  <c r="U122" i="4"/>
  <c r="BB134" i="4"/>
  <c r="U154" i="4"/>
  <c r="U156" i="4"/>
  <c r="AN189" i="4"/>
  <c r="AN187" i="4"/>
  <c r="AN184" i="4"/>
  <c r="AN181" i="4"/>
  <c r="BB181" i="4"/>
  <c r="AN179" i="4"/>
  <c r="BA23" i="4"/>
  <c r="AN17" i="4"/>
  <c r="U17" i="4"/>
  <c r="BB119" i="4"/>
  <c r="AN125" i="4"/>
  <c r="AQ126" i="4"/>
  <c r="AN127" i="4"/>
  <c r="BA129" i="4"/>
  <c r="AN135" i="4"/>
  <c r="BB141" i="4"/>
  <c r="AN141" i="4"/>
  <c r="AN140" i="4"/>
  <c r="BB144" i="4"/>
  <c r="BB143" i="4"/>
  <c r="AQ146" i="4"/>
  <c r="BB160" i="4"/>
  <c r="BB170" i="4"/>
  <c r="AQ66" i="4"/>
  <c r="AN67" i="4"/>
  <c r="BA73" i="4"/>
  <c r="AV76" i="4"/>
  <c r="BA77" i="4"/>
  <c r="AN90" i="4"/>
  <c r="BB90" i="4"/>
  <c r="BA91" i="4"/>
  <c r="BA98" i="4"/>
  <c r="BA102" i="4"/>
  <c r="AG14" i="4"/>
  <c r="U20" i="4"/>
  <c r="AI35" i="4"/>
  <c r="BA31" i="4"/>
  <c r="U38" i="4"/>
  <c r="AG38" i="4"/>
  <c r="U41" i="4"/>
  <c r="AX38" i="4"/>
  <c r="AF41" i="4" s="1"/>
  <c r="BA39" i="4"/>
  <c r="BA41" i="4"/>
  <c r="BA88" i="4"/>
  <c r="AG122" i="4"/>
  <c r="BA148" i="4"/>
  <c r="BA147" i="4"/>
  <c r="BA179" i="4"/>
  <c r="C178" i="4"/>
  <c r="C190" i="4"/>
  <c r="BA194" i="4"/>
  <c r="BA191" i="4"/>
  <c r="AN188" i="4"/>
  <c r="BB189" i="4"/>
  <c r="AN186" i="4"/>
  <c r="AN183" i="4"/>
  <c r="BB180" i="4"/>
  <c r="BB178" i="4"/>
  <c r="BA54" i="4"/>
  <c r="AN51" i="4"/>
  <c r="AN50" i="4"/>
  <c r="BA46" i="4"/>
  <c r="AN42" i="4"/>
  <c r="BA38" i="4"/>
  <c r="AN34" i="4"/>
  <c r="AN15" i="4"/>
  <c r="BB14" i="4"/>
  <c r="U15" i="4"/>
  <c r="BA21" i="4"/>
  <c r="BA25" i="4" s="1"/>
  <c r="BA18" i="4"/>
  <c r="BA22" i="4" s="1"/>
  <c r="AQ118" i="4"/>
  <c r="AN119" i="4"/>
  <c r="AN123" i="4"/>
  <c r="BA123" i="4"/>
  <c r="BB128" i="4"/>
  <c r="BB129" i="4"/>
  <c r="AN133" i="4"/>
  <c r="AN132" i="4"/>
  <c r="BB136" i="4"/>
  <c r="AQ138" i="4"/>
  <c r="AN139" i="4"/>
  <c r="AQ142" i="4"/>
  <c r="BB142" i="4"/>
  <c r="AN145" i="4"/>
  <c r="AN149" i="4"/>
  <c r="AQ158" i="4"/>
  <c r="BB158" i="4"/>
  <c r="C162" i="4"/>
  <c r="BB168" i="4"/>
  <c r="BB167" i="4"/>
  <c r="AQ170" i="4"/>
  <c r="BB171" i="4"/>
  <c r="BB172" i="4"/>
  <c r="AN174" i="4"/>
  <c r="AQ162" i="4"/>
  <c r="AV124" i="4"/>
  <c r="BA58" i="4"/>
  <c r="AN66" i="4"/>
  <c r="C82" i="4"/>
  <c r="BA82" i="4"/>
  <c r="BA107" i="4"/>
  <c r="BA111" i="4"/>
  <c r="U36" i="4"/>
  <c r="U40" i="4"/>
  <c r="BA44" i="4"/>
  <c r="BA74" i="4"/>
  <c r="AX106" i="4"/>
  <c r="AF109" i="4" s="1"/>
  <c r="AG130" i="4"/>
  <c r="U133" i="4"/>
  <c r="AI131" i="4"/>
  <c r="AX130" i="4"/>
  <c r="AF133" i="4" s="1"/>
  <c r="U132" i="4"/>
  <c r="AG134" i="4"/>
  <c r="U136" i="4"/>
  <c r="BA152" i="4"/>
  <c r="BA150" i="4"/>
  <c r="U162" i="4"/>
  <c r="U164" i="4"/>
  <c r="AI163" i="4"/>
  <c r="AG162" i="4"/>
  <c r="U163" i="4"/>
  <c r="U165" i="4"/>
  <c r="AG186" i="4"/>
  <c r="U189" i="4"/>
  <c r="AI187" i="4"/>
  <c r="U188" i="4"/>
  <c r="U186" i="4"/>
  <c r="AX186" i="4"/>
  <c r="AF189" i="4" s="1"/>
  <c r="BA184" i="4"/>
  <c r="BA185" i="4"/>
  <c r="C86" i="4"/>
  <c r="C150" i="4"/>
  <c r="BA106" i="4"/>
  <c r="BA116" i="4"/>
  <c r="BA114" i="4"/>
  <c r="U172" i="4"/>
  <c r="U170" i="4"/>
  <c r="AX170" i="4"/>
  <c r="AF173" i="4" s="1"/>
  <c r="BA171" i="4"/>
  <c r="BA87" i="4"/>
  <c r="BA115" i="4"/>
  <c r="BA117" i="4"/>
  <c r="BA68" i="4"/>
  <c r="BA86" i="4"/>
  <c r="BA80" i="4"/>
  <c r="BA81" i="4"/>
  <c r="BA128" i="4"/>
  <c r="U140" i="4"/>
  <c r="AX138" i="4"/>
  <c r="AF141" i="4" s="1"/>
  <c r="AG170" i="4"/>
  <c r="U159" i="4"/>
  <c r="AX158" i="4"/>
  <c r="AF161" i="4" s="1"/>
  <c r="U161" i="4"/>
  <c r="AI159" i="4"/>
  <c r="U175" i="4"/>
  <c r="AX174" i="4"/>
  <c r="AF177" i="4" s="1"/>
  <c r="AG174" i="4"/>
  <c r="U174" i="4"/>
  <c r="BA120" i="4"/>
  <c r="BA168" i="4"/>
  <c r="BA180" i="4"/>
  <c r="AI158" i="4" l="1"/>
  <c r="U57" i="4"/>
  <c r="V57" i="4" s="1"/>
  <c r="AQ57" i="4" s="1"/>
  <c r="AV56" i="4"/>
  <c r="BB165" i="4"/>
  <c r="AN177" i="4"/>
  <c r="BB147" i="4"/>
  <c r="AN136" i="4"/>
  <c r="BB16" i="4"/>
  <c r="AQ15" i="4" s="1"/>
  <c r="AX58" i="4"/>
  <c r="AF61" i="4" s="1"/>
  <c r="AN176" i="4"/>
  <c r="U59" i="4"/>
  <c r="AN146" i="4"/>
  <c r="BB36" i="4"/>
  <c r="U56" i="4"/>
  <c r="AI95" i="4"/>
  <c r="BB37" i="4"/>
  <c r="BB162" i="4"/>
  <c r="AI191" i="4"/>
  <c r="AN175" i="4"/>
  <c r="AI55" i="4"/>
  <c r="U173" i="4"/>
  <c r="V170" i="4" s="1"/>
  <c r="U134" i="4"/>
  <c r="AN165" i="4"/>
  <c r="AN161" i="4"/>
  <c r="AN126" i="4"/>
  <c r="AN14" i="4"/>
  <c r="AN43" i="4"/>
  <c r="AI155" i="4"/>
  <c r="BB17" i="4"/>
  <c r="BB44" i="4"/>
  <c r="BB71" i="4"/>
  <c r="U55" i="4"/>
  <c r="AI195" i="4"/>
  <c r="U95" i="4"/>
  <c r="V96" i="4" s="1"/>
  <c r="AQ96" i="4" s="1"/>
  <c r="U51" i="4"/>
  <c r="AN158" i="4"/>
  <c r="U135" i="4"/>
  <c r="V137" i="4" s="1"/>
  <c r="AQ137" i="4" s="1"/>
  <c r="AX134" i="4"/>
  <c r="AF137" i="4" s="1"/>
  <c r="BB177" i="4"/>
  <c r="BB149" i="4"/>
  <c r="BB159" i="4"/>
  <c r="AQ134" i="4"/>
  <c r="BB127" i="4"/>
  <c r="BB43" i="4"/>
  <c r="AQ43" i="4" s="1"/>
  <c r="AN129" i="4"/>
  <c r="AQ174" i="4"/>
  <c r="AG54" i="4"/>
  <c r="AI54" i="4" s="1"/>
  <c r="AN157" i="4"/>
  <c r="AG94" i="4"/>
  <c r="AI94" i="4" s="1"/>
  <c r="AN163" i="4"/>
  <c r="U171" i="4"/>
  <c r="BB161" i="4"/>
  <c r="AN36" i="4"/>
  <c r="AQ67" i="4"/>
  <c r="BB174" i="4"/>
  <c r="AQ175" i="4" s="1"/>
  <c r="U137" i="4"/>
  <c r="AV156" i="4"/>
  <c r="AN148" i="4"/>
  <c r="AN35" i="4"/>
  <c r="AG58" i="4"/>
  <c r="AG59" i="4" s="1"/>
  <c r="BB137" i="4"/>
  <c r="AQ135" i="4" s="1"/>
  <c r="AI59" i="4"/>
  <c r="AN112" i="4"/>
  <c r="BB176" i="4"/>
  <c r="U52" i="4"/>
  <c r="BB163" i="4"/>
  <c r="AN134" i="4"/>
  <c r="AV136" i="4"/>
  <c r="AN172" i="4"/>
  <c r="BA29" i="4"/>
  <c r="AQ22" i="4"/>
  <c r="X25" i="4" s="1"/>
  <c r="BA26" i="4"/>
  <c r="BB24" i="4"/>
  <c r="AN22" i="4"/>
  <c r="AN23" i="4"/>
  <c r="AN25" i="4"/>
  <c r="BB25" i="4"/>
  <c r="AN24" i="4"/>
  <c r="BB23" i="4"/>
  <c r="BB22" i="4"/>
  <c r="BB64" i="4"/>
  <c r="BB65" i="4"/>
  <c r="AN62" i="4"/>
  <c r="AN79" i="4"/>
  <c r="AQ122" i="4"/>
  <c r="V64" i="4"/>
  <c r="AQ64" i="4" s="1"/>
  <c r="BB157" i="4"/>
  <c r="BB70" i="4"/>
  <c r="BB156" i="4"/>
  <c r="U75" i="4"/>
  <c r="AN63" i="4"/>
  <c r="U190" i="4"/>
  <c r="U76" i="4"/>
  <c r="V76" i="4" s="1"/>
  <c r="AQ76" i="4" s="1"/>
  <c r="AN192" i="4"/>
  <c r="BB62" i="4"/>
  <c r="U60" i="4"/>
  <c r="AN111" i="4"/>
  <c r="AN73" i="4"/>
  <c r="AN155" i="4"/>
  <c r="AI51" i="4"/>
  <c r="U187" i="4"/>
  <c r="V189" i="4" s="1"/>
  <c r="AQ189" i="4" s="1"/>
  <c r="U144" i="4"/>
  <c r="AI143" i="4"/>
  <c r="AN110" i="4"/>
  <c r="BB192" i="4"/>
  <c r="AN122" i="4"/>
  <c r="BB122" i="4"/>
  <c r="U110" i="4"/>
  <c r="V112" i="4" s="1"/>
  <c r="AQ112" i="4" s="1"/>
  <c r="AQ78" i="4"/>
  <c r="AG190" i="4"/>
  <c r="AG192" i="4" s="1"/>
  <c r="U91" i="4"/>
  <c r="V93" i="4" s="1"/>
  <c r="AQ93" i="4" s="1"/>
  <c r="AN70" i="4"/>
  <c r="AG142" i="4"/>
  <c r="AI142" i="4" s="1"/>
  <c r="U192" i="4"/>
  <c r="AG154" i="4"/>
  <c r="AI154" i="4" s="1"/>
  <c r="AI111" i="4"/>
  <c r="AI91" i="4"/>
  <c r="U74" i="4"/>
  <c r="U58" i="4"/>
  <c r="V61" i="4" s="1"/>
  <c r="AQ61" i="4" s="1"/>
  <c r="BB72" i="4"/>
  <c r="BB154" i="4"/>
  <c r="BB124" i="4"/>
  <c r="AN154" i="4"/>
  <c r="U112" i="4"/>
  <c r="AV60" i="4"/>
  <c r="AV61" i="4" s="1"/>
  <c r="AV65" i="4" s="1"/>
  <c r="AN191" i="4"/>
  <c r="AX110" i="4"/>
  <c r="AF113" i="4" s="1"/>
  <c r="AX142" i="4"/>
  <c r="AF145" i="4" s="1"/>
  <c r="U193" i="4"/>
  <c r="AX154" i="4"/>
  <c r="AF157" i="4" s="1"/>
  <c r="U113" i="4"/>
  <c r="U93" i="4"/>
  <c r="U21" i="4"/>
  <c r="BB73" i="4"/>
  <c r="BB155" i="4"/>
  <c r="AG50" i="4"/>
  <c r="AI50" i="4" s="1"/>
  <c r="AN130" i="4"/>
  <c r="AN193" i="4"/>
  <c r="AI171" i="4"/>
  <c r="BA24" i="4"/>
  <c r="U24" i="4" s="1"/>
  <c r="U176" i="4"/>
  <c r="V177" i="4" s="1"/>
  <c r="AQ177" i="4" s="1"/>
  <c r="AI175" i="4"/>
  <c r="BB81" i="4"/>
  <c r="BB78" i="4"/>
  <c r="AN80" i="4"/>
  <c r="AN78" i="4"/>
  <c r="AN81" i="4"/>
  <c r="BB80" i="4"/>
  <c r="BB125" i="4"/>
  <c r="AN72" i="4"/>
  <c r="U142" i="4"/>
  <c r="U143" i="4"/>
  <c r="BB110" i="4"/>
  <c r="AQ111" i="4" s="1"/>
  <c r="AN64" i="4"/>
  <c r="AV192" i="4"/>
  <c r="U191" i="4"/>
  <c r="AQ91" i="4"/>
  <c r="BB63" i="4"/>
  <c r="U155" i="4"/>
  <c r="V154" i="4" s="1"/>
  <c r="AG110" i="4"/>
  <c r="AI110" i="4" s="1"/>
  <c r="AG90" i="4"/>
  <c r="AG92" i="4" s="1"/>
  <c r="AQ62" i="4"/>
  <c r="AN113" i="4"/>
  <c r="AQ110" i="4"/>
  <c r="BB190" i="4"/>
  <c r="AQ191" i="4" s="1"/>
  <c r="AV112" i="4"/>
  <c r="U145" i="4"/>
  <c r="AI15" i="4"/>
  <c r="U14" i="4"/>
  <c r="V17" i="4" s="1"/>
  <c r="AQ17" i="4" s="1"/>
  <c r="U22" i="4"/>
  <c r="AV24" i="4"/>
  <c r="L21" i="4"/>
  <c r="AP18" i="4"/>
  <c r="AQ143" i="4"/>
  <c r="V138" i="4"/>
  <c r="AP141" i="4" s="1"/>
  <c r="AQ51" i="4"/>
  <c r="U19" i="4"/>
  <c r="AQ159" i="4"/>
  <c r="V132" i="4"/>
  <c r="AQ132" i="4" s="1"/>
  <c r="V161" i="4"/>
  <c r="AQ161" i="4" s="1"/>
  <c r="AQ131" i="4"/>
  <c r="AQ167" i="4"/>
  <c r="AQ127" i="4"/>
  <c r="AQ183" i="4"/>
  <c r="V133" i="4"/>
  <c r="AQ133" i="4" s="1"/>
  <c r="AQ179" i="4"/>
  <c r="AQ23" i="4"/>
  <c r="AQ139" i="4"/>
  <c r="V158" i="4"/>
  <c r="AP161" i="4" s="1"/>
  <c r="V130" i="4"/>
  <c r="AP132" i="4" s="1"/>
  <c r="AQ163" i="4"/>
  <c r="AQ35" i="4"/>
  <c r="AQ187" i="4"/>
  <c r="AQ171" i="4"/>
  <c r="AQ119" i="4"/>
  <c r="AG166" i="4"/>
  <c r="U169" i="4"/>
  <c r="AI167" i="4"/>
  <c r="U168" i="4"/>
  <c r="AV168" i="4"/>
  <c r="U166" i="4"/>
  <c r="AX166" i="4"/>
  <c r="AF169" i="4" s="1"/>
  <c r="U167" i="4"/>
  <c r="AG176" i="4"/>
  <c r="AI174" i="4"/>
  <c r="AG175" i="4"/>
  <c r="V160" i="4"/>
  <c r="AQ160" i="4" s="1"/>
  <c r="U78" i="4"/>
  <c r="AG78" i="4"/>
  <c r="U81" i="4"/>
  <c r="AX78" i="4"/>
  <c r="AF81" i="4" s="1"/>
  <c r="U79" i="4"/>
  <c r="AI79" i="4"/>
  <c r="U80" i="4"/>
  <c r="AV80" i="4"/>
  <c r="AV81" i="4" s="1"/>
  <c r="AV85" i="4" s="1"/>
  <c r="U182" i="4"/>
  <c r="U184" i="4"/>
  <c r="U185" i="4"/>
  <c r="AI183" i="4"/>
  <c r="AG182" i="4"/>
  <c r="AX182" i="4"/>
  <c r="AF185" i="4" s="1"/>
  <c r="AV184" i="4"/>
  <c r="U183" i="4"/>
  <c r="AG163" i="4"/>
  <c r="AI162" i="4"/>
  <c r="AG164" i="4"/>
  <c r="BB150" i="4"/>
  <c r="AQ150" i="4"/>
  <c r="AN152" i="4"/>
  <c r="AN151" i="4"/>
  <c r="BB153" i="4"/>
  <c r="BB151" i="4"/>
  <c r="AN153" i="4"/>
  <c r="AN150" i="4"/>
  <c r="BB152" i="4"/>
  <c r="AG42" i="4"/>
  <c r="U45" i="4"/>
  <c r="AI43" i="4"/>
  <c r="AX42" i="4"/>
  <c r="AF45" i="4" s="1"/>
  <c r="U44" i="4"/>
  <c r="AV44" i="4"/>
  <c r="U42" i="4"/>
  <c r="U43" i="4"/>
  <c r="AG156" i="4"/>
  <c r="AI90" i="4"/>
  <c r="AI62" i="4"/>
  <c r="AG64" i="4"/>
  <c r="AG63" i="4"/>
  <c r="V140" i="4"/>
  <c r="AQ140" i="4" s="1"/>
  <c r="AG107" i="4"/>
  <c r="AI106" i="4"/>
  <c r="AG108" i="4"/>
  <c r="V106" i="4"/>
  <c r="V109" i="4"/>
  <c r="AQ109" i="4" s="1"/>
  <c r="V108" i="4"/>
  <c r="AQ108" i="4" s="1"/>
  <c r="AG72" i="4"/>
  <c r="AI70" i="4"/>
  <c r="AG71" i="4"/>
  <c r="U48" i="4"/>
  <c r="AG46" i="4"/>
  <c r="U47" i="4"/>
  <c r="U49" i="4"/>
  <c r="AX46" i="4"/>
  <c r="AF49" i="4" s="1"/>
  <c r="AI47" i="4"/>
  <c r="AV48" i="4"/>
  <c r="U46" i="4"/>
  <c r="AX80" i="4"/>
  <c r="AX84" i="4" s="1"/>
  <c r="AX88" i="4" s="1"/>
  <c r="AX92" i="4" s="1"/>
  <c r="AX96" i="4" s="1"/>
  <c r="AG96" i="4"/>
  <c r="AG95" i="4"/>
  <c r="V50" i="4"/>
  <c r="V53" i="4"/>
  <c r="AQ53" i="4" s="1"/>
  <c r="V52" i="4"/>
  <c r="AQ52" i="4" s="1"/>
  <c r="U179" i="4"/>
  <c r="AX178" i="4"/>
  <c r="AF181" i="4" s="1"/>
  <c r="U181" i="4"/>
  <c r="AI179" i="4"/>
  <c r="AG178" i="4"/>
  <c r="U180" i="4"/>
  <c r="AV180" i="4"/>
  <c r="U178" i="4"/>
  <c r="U120" i="4"/>
  <c r="U121" i="4"/>
  <c r="AI119" i="4"/>
  <c r="U119" i="4"/>
  <c r="AX118" i="4"/>
  <c r="AF121" i="4" s="1"/>
  <c r="U118" i="4"/>
  <c r="AV120" i="4"/>
  <c r="AG118" i="4"/>
  <c r="V142" i="4"/>
  <c r="AN89" i="4"/>
  <c r="BB86" i="4"/>
  <c r="AQ86" i="4"/>
  <c r="BB89" i="4"/>
  <c r="BB88" i="4"/>
  <c r="AN86" i="4"/>
  <c r="AN88" i="4"/>
  <c r="BB87" i="4"/>
  <c r="AN87" i="4"/>
  <c r="BB115" i="4"/>
  <c r="AN117" i="4"/>
  <c r="AN115" i="4"/>
  <c r="AN114" i="4"/>
  <c r="BB114" i="4"/>
  <c r="BB116" i="4"/>
  <c r="BB117" i="4"/>
  <c r="AN116" i="4"/>
  <c r="AQ114" i="4"/>
  <c r="U153" i="4"/>
  <c r="AI151" i="4"/>
  <c r="U150" i="4"/>
  <c r="AG150" i="4"/>
  <c r="AX150" i="4"/>
  <c r="AF153" i="4" s="1"/>
  <c r="U151" i="4"/>
  <c r="U152" i="4"/>
  <c r="AV152" i="4"/>
  <c r="AG136" i="4"/>
  <c r="AI134" i="4"/>
  <c r="AG135" i="4"/>
  <c r="BB77" i="4"/>
  <c r="BB74" i="4"/>
  <c r="AQ74" i="4"/>
  <c r="AN77" i="4"/>
  <c r="BB76" i="4"/>
  <c r="AN75" i="4"/>
  <c r="AN76" i="4"/>
  <c r="BB75" i="4"/>
  <c r="AN74" i="4"/>
  <c r="AN20" i="4"/>
  <c r="AN21" i="4"/>
  <c r="BB21" i="4"/>
  <c r="AN19" i="4"/>
  <c r="BB19" i="4"/>
  <c r="AN18" i="4"/>
  <c r="BB20" i="4"/>
  <c r="AQ19" i="4"/>
  <c r="AQ18" i="4"/>
  <c r="X21" i="4" s="1"/>
  <c r="BB18" i="4"/>
  <c r="AN54" i="4"/>
  <c r="BB54" i="4"/>
  <c r="BB56" i="4"/>
  <c r="BB55" i="4"/>
  <c r="AN57" i="4"/>
  <c r="BB57" i="4"/>
  <c r="AN56" i="4"/>
  <c r="AQ54" i="4"/>
  <c r="AN55" i="4"/>
  <c r="AQ147" i="4"/>
  <c r="U86" i="4"/>
  <c r="U87" i="4"/>
  <c r="AI87" i="4"/>
  <c r="AG86" i="4"/>
  <c r="U88" i="4"/>
  <c r="AX86" i="4"/>
  <c r="AF89" i="4" s="1"/>
  <c r="AV88" i="4"/>
  <c r="U89" i="4"/>
  <c r="AG39" i="4"/>
  <c r="AG40" i="4"/>
  <c r="AI38" i="4"/>
  <c r="AN103" i="4"/>
  <c r="AN102" i="4"/>
  <c r="BB105" i="4"/>
  <c r="AN105" i="4"/>
  <c r="BB104" i="4"/>
  <c r="AQ102" i="4"/>
  <c r="AN104" i="4"/>
  <c r="BB103" i="4"/>
  <c r="BB102" i="4"/>
  <c r="V122" i="4"/>
  <c r="V125" i="4"/>
  <c r="AQ125" i="4" s="1"/>
  <c r="V124" i="4"/>
  <c r="AQ124" i="4" s="1"/>
  <c r="V85" i="4"/>
  <c r="AQ85" i="4" s="1"/>
  <c r="V82" i="4"/>
  <c r="V84" i="4"/>
  <c r="AQ84" i="4" s="1"/>
  <c r="BB97" i="4"/>
  <c r="BB95" i="4"/>
  <c r="BB94" i="4"/>
  <c r="AQ94" i="4"/>
  <c r="BB96" i="4"/>
  <c r="AN94" i="4"/>
  <c r="AN95" i="4"/>
  <c r="AN97" i="4"/>
  <c r="AN96" i="4"/>
  <c r="U100" i="4"/>
  <c r="AG98" i="4"/>
  <c r="U99" i="4"/>
  <c r="U101" i="4"/>
  <c r="AX98" i="4"/>
  <c r="AF101" i="4" s="1"/>
  <c r="AV100" i="4"/>
  <c r="U98" i="4"/>
  <c r="AI99" i="4"/>
  <c r="AI82" i="4"/>
  <c r="AG83" i="4"/>
  <c r="AG84" i="4"/>
  <c r="V58" i="4"/>
  <c r="V60" i="4"/>
  <c r="AQ60" i="4" s="1"/>
  <c r="V65" i="4"/>
  <c r="AQ65" i="4" s="1"/>
  <c r="AV21" i="4"/>
  <c r="V196" i="4"/>
  <c r="AQ196" i="4" s="1"/>
  <c r="V197" i="4"/>
  <c r="AQ197" i="4" s="1"/>
  <c r="V194" i="4"/>
  <c r="AG144" i="4"/>
  <c r="AG143" i="4"/>
  <c r="U126" i="4"/>
  <c r="AG126" i="4"/>
  <c r="U129" i="4"/>
  <c r="AX126" i="4"/>
  <c r="AF129" i="4" s="1"/>
  <c r="U128" i="4"/>
  <c r="AI127" i="4"/>
  <c r="U127" i="4"/>
  <c r="AV128" i="4"/>
  <c r="AG114" i="4"/>
  <c r="U116" i="4"/>
  <c r="AX114" i="4"/>
  <c r="AF117" i="4" s="1"/>
  <c r="U114" i="4"/>
  <c r="U115" i="4"/>
  <c r="AI115" i="4"/>
  <c r="AV116" i="4"/>
  <c r="U117" i="4"/>
  <c r="V188" i="4"/>
  <c r="AQ188" i="4" s="1"/>
  <c r="AI186" i="4"/>
  <c r="AG188" i="4"/>
  <c r="AG187" i="4"/>
  <c r="AI130" i="4"/>
  <c r="AG131" i="4"/>
  <c r="AG132" i="4"/>
  <c r="AN83" i="4"/>
  <c r="AN82" i="4"/>
  <c r="BB84" i="4"/>
  <c r="BB83" i="4"/>
  <c r="AQ82" i="4"/>
  <c r="BB82" i="4"/>
  <c r="BB85" i="4"/>
  <c r="AN85" i="4"/>
  <c r="AN84" i="4"/>
  <c r="AN59" i="4"/>
  <c r="AN58" i="4"/>
  <c r="BB58" i="4"/>
  <c r="BB61" i="4"/>
  <c r="AN61" i="4"/>
  <c r="AN60" i="4"/>
  <c r="BB60" i="4"/>
  <c r="BB59" i="4"/>
  <c r="AQ58" i="4"/>
  <c r="AN46" i="4"/>
  <c r="AN48" i="4"/>
  <c r="BB47" i="4"/>
  <c r="BB46" i="4"/>
  <c r="BB48" i="4"/>
  <c r="AN47" i="4"/>
  <c r="BB49" i="4"/>
  <c r="AQ46" i="4"/>
  <c r="AN49" i="4"/>
  <c r="U146" i="4"/>
  <c r="U148" i="4"/>
  <c r="AX146" i="4"/>
  <c r="AF149" i="4" s="1"/>
  <c r="U149" i="4"/>
  <c r="AI147" i="4"/>
  <c r="U147" i="4"/>
  <c r="AV148" i="4"/>
  <c r="AG146" i="4"/>
  <c r="V38" i="4"/>
  <c r="V41" i="4"/>
  <c r="AQ41" i="4" s="1"/>
  <c r="V40" i="4"/>
  <c r="AQ40" i="4" s="1"/>
  <c r="BB99" i="4"/>
  <c r="BB100" i="4"/>
  <c r="AN99" i="4"/>
  <c r="AN98" i="4"/>
  <c r="AN101" i="4"/>
  <c r="BB101" i="4"/>
  <c r="AN100" i="4"/>
  <c r="AQ98" i="4"/>
  <c r="BB98" i="4"/>
  <c r="V110" i="4"/>
  <c r="AG111" i="4"/>
  <c r="V141" i="4"/>
  <c r="AQ141" i="4" s="1"/>
  <c r="AF16" i="4"/>
  <c r="AF15" i="4"/>
  <c r="V54" i="4"/>
  <c r="V56" i="4"/>
  <c r="AQ56" i="4" s="1"/>
  <c r="V94" i="4"/>
  <c r="V97" i="4"/>
  <c r="AQ97" i="4" s="1"/>
  <c r="AI170" i="4"/>
  <c r="AG172" i="4"/>
  <c r="AG171" i="4"/>
  <c r="U68" i="4"/>
  <c r="AX66" i="4"/>
  <c r="AF69" i="4" s="1"/>
  <c r="AV68" i="4"/>
  <c r="U66" i="4"/>
  <c r="AG66" i="4"/>
  <c r="U67" i="4"/>
  <c r="AI67" i="4"/>
  <c r="U69" i="4"/>
  <c r="AN109" i="4"/>
  <c r="BB106" i="4"/>
  <c r="AQ106" i="4"/>
  <c r="BB107" i="4"/>
  <c r="BB109" i="4"/>
  <c r="BB108" i="4"/>
  <c r="AN107" i="4"/>
  <c r="AN108" i="4"/>
  <c r="AN106" i="4"/>
  <c r="V162" i="4"/>
  <c r="V165" i="4"/>
  <c r="AQ165" i="4" s="1"/>
  <c r="V164" i="4"/>
  <c r="AQ164" i="4" s="1"/>
  <c r="V62" i="4"/>
  <c r="AN38" i="4"/>
  <c r="AN40" i="4"/>
  <c r="BB39" i="4"/>
  <c r="BB38" i="4"/>
  <c r="BB40" i="4"/>
  <c r="AN39" i="4"/>
  <c r="BB41" i="4"/>
  <c r="AQ38" i="4"/>
  <c r="AN41" i="4"/>
  <c r="AN194" i="4"/>
  <c r="BB194" i="4"/>
  <c r="BB195" i="4"/>
  <c r="AN196" i="4"/>
  <c r="AN197" i="4"/>
  <c r="BB196" i="4"/>
  <c r="AN195" i="4"/>
  <c r="BB197" i="4"/>
  <c r="AQ194" i="4"/>
  <c r="AG124" i="4"/>
  <c r="AG123" i="4"/>
  <c r="AI122" i="4"/>
  <c r="AG15" i="4"/>
  <c r="AG16" i="4"/>
  <c r="AI14" i="4"/>
  <c r="V157" i="4"/>
  <c r="AQ157" i="4" s="1"/>
  <c r="AG75" i="4"/>
  <c r="AG76" i="4"/>
  <c r="AI74" i="4"/>
  <c r="V34" i="4"/>
  <c r="V36" i="4"/>
  <c r="AQ36" i="4" s="1"/>
  <c r="V37" i="4"/>
  <c r="AQ37" i="4" s="1"/>
  <c r="U103" i="4"/>
  <c r="AX102" i="4"/>
  <c r="AF105" i="4" s="1"/>
  <c r="U105" i="4"/>
  <c r="AI103" i="4"/>
  <c r="AG102" i="4"/>
  <c r="U102" i="4"/>
  <c r="AV104" i="4"/>
  <c r="U104" i="4"/>
  <c r="V73" i="4"/>
  <c r="AQ73" i="4" s="1"/>
  <c r="V72" i="4"/>
  <c r="AQ72" i="4" s="1"/>
  <c r="V70" i="4"/>
  <c r="AG195" i="4"/>
  <c r="AG196" i="4"/>
  <c r="AI194" i="4"/>
  <c r="AI190" i="4" l="1"/>
  <c r="AI58" i="4"/>
  <c r="AG56" i="4"/>
  <c r="AG191" i="4"/>
  <c r="AG55" i="4"/>
  <c r="AG155" i="4"/>
  <c r="AV69" i="4"/>
  <c r="AV73" i="4" s="1"/>
  <c r="AV77" i="4" s="1"/>
  <c r="AQ83" i="4"/>
  <c r="V136" i="4"/>
  <c r="AQ136" i="4" s="1"/>
  <c r="V174" i="4"/>
  <c r="AP176" i="4" s="1"/>
  <c r="V113" i="4"/>
  <c r="AQ113" i="4" s="1"/>
  <c r="V173" i="4"/>
  <c r="AQ173" i="4" s="1"/>
  <c r="V144" i="4"/>
  <c r="AQ144" i="4" s="1"/>
  <c r="AQ79" i="4"/>
  <c r="V176" i="4"/>
  <c r="AQ176" i="4" s="1"/>
  <c r="AQ95" i="4"/>
  <c r="AQ75" i="4"/>
  <c r="V172" i="4"/>
  <c r="AQ172" i="4" s="1"/>
  <c r="V145" i="4"/>
  <c r="AQ145" i="4" s="1"/>
  <c r="V186" i="4"/>
  <c r="AP188" i="4" s="1"/>
  <c r="AG60" i="4"/>
  <c r="V18" i="4"/>
  <c r="V20" i="4" s="1"/>
  <c r="AQ20" i="4" s="1"/>
  <c r="U23" i="4"/>
  <c r="V22" i="4" s="1"/>
  <c r="V134" i="4"/>
  <c r="AQ123" i="4"/>
  <c r="V190" i="4"/>
  <c r="AP193" i="4" s="1"/>
  <c r="V74" i="4"/>
  <c r="AP77" i="4" s="1"/>
  <c r="AQ155" i="4"/>
  <c r="V14" i="4"/>
  <c r="AG112" i="4"/>
  <c r="AG51" i="4"/>
  <c r="AG52" i="4"/>
  <c r="V156" i="4"/>
  <c r="AQ156" i="4" s="1"/>
  <c r="V77" i="4"/>
  <c r="AQ77" i="4" s="1"/>
  <c r="AG91" i="4"/>
  <c r="AN29" i="4"/>
  <c r="BA30" i="4"/>
  <c r="AN27" i="4"/>
  <c r="BB27" i="4"/>
  <c r="AN28" i="4"/>
  <c r="AN26" i="4"/>
  <c r="BB29" i="4"/>
  <c r="AQ26" i="4"/>
  <c r="X29" i="4" s="1"/>
  <c r="BB28" i="4"/>
  <c r="BB26" i="4"/>
  <c r="V192" i="4"/>
  <c r="AQ192" i="4" s="1"/>
  <c r="AQ59" i="4"/>
  <c r="AQ71" i="4"/>
  <c r="V92" i="4"/>
  <c r="AQ92" i="4" s="1"/>
  <c r="V90" i="4"/>
  <c r="V16" i="4"/>
  <c r="AQ16" i="4" s="1"/>
  <c r="V193" i="4"/>
  <c r="AQ193" i="4" s="1"/>
  <c r="AQ27" i="4"/>
  <c r="BA33" i="4"/>
  <c r="AQ63" i="4"/>
  <c r="AQ87" i="4"/>
  <c r="AV89" i="4"/>
  <c r="AV93" i="4" s="1"/>
  <c r="AV97" i="4" s="1"/>
  <c r="BA28" i="4"/>
  <c r="U25" i="4"/>
  <c r="Z25" i="4"/>
  <c r="AV25" i="4"/>
  <c r="AP140" i="4"/>
  <c r="AG141" i="4" s="1"/>
  <c r="Z21" i="4"/>
  <c r="AP160" i="4"/>
  <c r="W160" i="4" s="1"/>
  <c r="AQ39" i="4"/>
  <c r="AQ103" i="4"/>
  <c r="AP133" i="4"/>
  <c r="AI133" i="4" s="1"/>
  <c r="AQ55" i="4"/>
  <c r="AQ115" i="4"/>
  <c r="AY20" i="4"/>
  <c r="M19" i="4"/>
  <c r="AY21" i="4"/>
  <c r="AQ151" i="4"/>
  <c r="AQ195" i="4"/>
  <c r="AQ99" i="4"/>
  <c r="AQ47" i="4"/>
  <c r="AQ31" i="4"/>
  <c r="AQ107" i="4"/>
  <c r="AG104" i="4"/>
  <c r="AG103" i="4"/>
  <c r="AI102" i="4"/>
  <c r="AP164" i="4"/>
  <c r="AP165" i="4"/>
  <c r="AG116" i="4"/>
  <c r="AI114" i="4"/>
  <c r="AG115" i="4"/>
  <c r="V126" i="4"/>
  <c r="V129" i="4"/>
  <c r="AQ129" i="4" s="1"/>
  <c r="V128" i="4"/>
  <c r="AQ128" i="4" s="1"/>
  <c r="AP196" i="4"/>
  <c r="AP197" i="4"/>
  <c r="V100" i="4"/>
  <c r="AQ100" i="4" s="1"/>
  <c r="V98" i="4"/>
  <c r="V101" i="4"/>
  <c r="AQ101" i="4" s="1"/>
  <c r="AP145" i="4"/>
  <c r="AP144" i="4"/>
  <c r="AP108" i="4"/>
  <c r="AP109" i="4"/>
  <c r="V45" i="4"/>
  <c r="AQ45" i="4" s="1"/>
  <c r="V42" i="4"/>
  <c r="V44" i="4"/>
  <c r="AQ44" i="4" s="1"/>
  <c r="AP37" i="4"/>
  <c r="AP36" i="4"/>
  <c r="AP157" i="4"/>
  <c r="AP156" i="4"/>
  <c r="AG67" i="4"/>
  <c r="AG68" i="4"/>
  <c r="AI66" i="4"/>
  <c r="AP177" i="4"/>
  <c r="AP97" i="4"/>
  <c r="AP96" i="4"/>
  <c r="AP56" i="4"/>
  <c r="AP57" i="4"/>
  <c r="AP192" i="4"/>
  <c r="V116" i="4"/>
  <c r="AQ116" i="4" s="1"/>
  <c r="V114" i="4"/>
  <c r="V117" i="4"/>
  <c r="AQ117" i="4" s="1"/>
  <c r="AG99" i="4"/>
  <c r="AG100" i="4"/>
  <c r="AI98" i="4"/>
  <c r="AP85" i="4"/>
  <c r="AP84" i="4"/>
  <c r="AP125" i="4"/>
  <c r="AP124" i="4"/>
  <c r="AI150" i="4"/>
  <c r="AG152" i="4"/>
  <c r="AG151" i="4"/>
  <c r="V120" i="4"/>
  <c r="AQ120" i="4" s="1"/>
  <c r="V118" i="4"/>
  <c r="V121" i="4"/>
  <c r="AQ121" i="4" s="1"/>
  <c r="AP53" i="4"/>
  <c r="AP52" i="4"/>
  <c r="V48" i="4"/>
  <c r="AQ48" i="4" s="1"/>
  <c r="V46" i="4"/>
  <c r="V49" i="4"/>
  <c r="AQ49" i="4" s="1"/>
  <c r="AI141" i="4"/>
  <c r="AS139" i="4"/>
  <c r="AS141" i="4" s="1"/>
  <c r="AT141" i="4" s="1"/>
  <c r="AT139" i="4" s="1"/>
  <c r="AW139" i="4" s="1"/>
  <c r="AG133" i="4"/>
  <c r="AS130" i="4"/>
  <c r="AP16" i="4"/>
  <c r="AP17" i="4"/>
  <c r="AP73" i="4"/>
  <c r="AP72" i="4"/>
  <c r="AP64" i="4"/>
  <c r="AP65" i="4"/>
  <c r="V68" i="4"/>
  <c r="AQ68" i="4" s="1"/>
  <c r="V66" i="4"/>
  <c r="V69" i="4"/>
  <c r="AQ69" i="4" s="1"/>
  <c r="AP41" i="4"/>
  <c r="AP40" i="4"/>
  <c r="V146" i="4"/>
  <c r="V148" i="4"/>
  <c r="AQ148" i="4" s="1"/>
  <c r="V149" i="4"/>
  <c r="AQ149" i="4" s="1"/>
  <c r="AP61" i="4"/>
  <c r="AP60" i="4"/>
  <c r="V86" i="4"/>
  <c r="V89" i="4"/>
  <c r="AQ89" i="4" s="1"/>
  <c r="V88" i="4"/>
  <c r="AQ88" i="4" s="1"/>
  <c r="V153" i="4"/>
  <c r="AQ153" i="4" s="1"/>
  <c r="V150" i="4"/>
  <c r="V152" i="4"/>
  <c r="AQ152" i="4" s="1"/>
  <c r="AG180" i="4"/>
  <c r="AI178" i="4"/>
  <c r="AG179" i="4"/>
  <c r="AI42" i="4"/>
  <c r="AG43" i="4"/>
  <c r="AG44" i="4"/>
  <c r="AG79" i="4"/>
  <c r="AG80" i="4"/>
  <c r="AI78" i="4"/>
  <c r="V169" i="4"/>
  <c r="AQ169" i="4" s="1"/>
  <c r="V168" i="4"/>
  <c r="AQ168" i="4" s="1"/>
  <c r="V166" i="4"/>
  <c r="V102" i="4"/>
  <c r="V105" i="4"/>
  <c r="AQ105" i="4" s="1"/>
  <c r="V104" i="4"/>
  <c r="AQ104" i="4" s="1"/>
  <c r="AP137" i="4"/>
  <c r="AP136" i="4"/>
  <c r="AP112" i="4"/>
  <c r="AP113" i="4"/>
  <c r="AG147" i="4"/>
  <c r="AI146" i="4"/>
  <c r="AG148" i="4"/>
  <c r="AG127" i="4"/>
  <c r="AG128" i="4"/>
  <c r="AI126" i="4"/>
  <c r="AG87" i="4"/>
  <c r="AG88" i="4"/>
  <c r="AI86" i="4"/>
  <c r="AP173" i="4"/>
  <c r="AP172" i="4"/>
  <c r="AG120" i="4"/>
  <c r="AI118" i="4"/>
  <c r="AG119" i="4"/>
  <c r="V178" i="4"/>
  <c r="V181" i="4"/>
  <c r="AQ181" i="4" s="1"/>
  <c r="V180" i="4"/>
  <c r="AQ180" i="4" s="1"/>
  <c r="AI46" i="4"/>
  <c r="AG48" i="4"/>
  <c r="AG47" i="4"/>
  <c r="AG183" i="4"/>
  <c r="AG184" i="4"/>
  <c r="AI182" i="4"/>
  <c r="V182" i="4"/>
  <c r="V184" i="4"/>
  <c r="AQ184" i="4" s="1"/>
  <c r="V185" i="4"/>
  <c r="AQ185" i="4" s="1"/>
  <c r="V78" i="4"/>
  <c r="V80" i="4"/>
  <c r="AQ80" i="4" s="1"/>
  <c r="V81" i="4"/>
  <c r="AQ81" i="4" s="1"/>
  <c r="AI166" i="4"/>
  <c r="AG168" i="4"/>
  <c r="AG167" i="4"/>
  <c r="AS159" i="4"/>
  <c r="AS161" i="4" s="1"/>
  <c r="AT161" i="4" s="1"/>
  <c r="AT159" i="4" s="1"/>
  <c r="AW159" i="4" s="1"/>
  <c r="AI161" i="4"/>
  <c r="AP189" i="4" l="1"/>
  <c r="AP76" i="4"/>
  <c r="AS74" i="4" s="1"/>
  <c r="AP92" i="4"/>
  <c r="AP93" i="4"/>
  <c r="Z29" i="4"/>
  <c r="BA32" i="4"/>
  <c r="AV28" i="4"/>
  <c r="AV29" i="4" s="1"/>
  <c r="U28" i="4"/>
  <c r="U26" i="4"/>
  <c r="U27" i="4"/>
  <c r="U29" i="4"/>
  <c r="Z33" i="4"/>
  <c r="BB33" i="4"/>
  <c r="BB31" i="4"/>
  <c r="BB30" i="4"/>
  <c r="AQ30" i="4"/>
  <c r="X33" i="4" s="1"/>
  <c r="AN32" i="4"/>
  <c r="AN30" i="4"/>
  <c r="AN33" i="4"/>
  <c r="BB32" i="4"/>
  <c r="AN31" i="4"/>
  <c r="V24" i="4"/>
  <c r="AQ24" i="4" s="1"/>
  <c r="AS138" i="4"/>
  <c r="AS140" i="4" s="1"/>
  <c r="AT140" i="4" s="1"/>
  <c r="AT138" i="4" s="1"/>
  <c r="AW138" i="4" s="1"/>
  <c r="W140" i="4"/>
  <c r="AS158" i="4"/>
  <c r="AS160" i="4" s="1"/>
  <c r="AT160" i="4" s="1"/>
  <c r="AT158" i="4" s="1"/>
  <c r="AW158" i="4" s="1"/>
  <c r="W132" i="4"/>
  <c r="AG161" i="4"/>
  <c r="V21" i="4"/>
  <c r="AS131" i="4"/>
  <c r="AY19" i="4"/>
  <c r="AO21" i="4" s="1"/>
  <c r="AY18" i="4"/>
  <c r="AO20" i="4" s="1"/>
  <c r="AP181" i="4"/>
  <c r="AP180" i="4"/>
  <c r="AG173" i="4"/>
  <c r="W172" i="4"/>
  <c r="AS170" i="4"/>
  <c r="AG113" i="4"/>
  <c r="AS110" i="4"/>
  <c r="W112" i="4"/>
  <c r="AI61" i="4"/>
  <c r="AS59" i="4"/>
  <c r="W64" i="4"/>
  <c r="AG65" i="4"/>
  <c r="AS62" i="4"/>
  <c r="W16" i="4"/>
  <c r="AG17" i="4"/>
  <c r="AS14" i="4"/>
  <c r="W52" i="4"/>
  <c r="AG53" i="4"/>
  <c r="AS50" i="4"/>
  <c r="W124" i="4"/>
  <c r="AG125" i="4"/>
  <c r="AS122" i="4"/>
  <c r="AG193" i="4"/>
  <c r="W192" i="4"/>
  <c r="AS190" i="4"/>
  <c r="AG97" i="4"/>
  <c r="W96" i="4"/>
  <c r="AS94" i="4"/>
  <c r="AI157" i="4"/>
  <c r="AS155" i="4"/>
  <c r="AS157" i="4" s="1"/>
  <c r="AT157" i="4" s="1"/>
  <c r="AT155" i="4" s="1"/>
  <c r="AW155" i="4" s="1"/>
  <c r="AI109" i="4"/>
  <c r="AS107" i="4"/>
  <c r="W144" i="4"/>
  <c r="AG145" i="4"/>
  <c r="AS142" i="4"/>
  <c r="AG197" i="4"/>
  <c r="W196" i="4"/>
  <c r="AS194" i="4"/>
  <c r="AG165" i="4"/>
  <c r="AS162" i="4"/>
  <c r="W164" i="4"/>
  <c r="AP184" i="4"/>
  <c r="AP185" i="4"/>
  <c r="AI173" i="4"/>
  <c r="AS171" i="4"/>
  <c r="AS173" i="4" s="1"/>
  <c r="AT173" i="4" s="1"/>
  <c r="AT171" i="4" s="1"/>
  <c r="AW171" i="4" s="1"/>
  <c r="AG77" i="4"/>
  <c r="W76" i="4"/>
  <c r="AI189" i="4"/>
  <c r="AS187" i="4"/>
  <c r="AP149" i="4"/>
  <c r="AP148" i="4"/>
  <c r="AP69" i="4"/>
  <c r="AP68" i="4"/>
  <c r="W72" i="4"/>
  <c r="AG73" i="4"/>
  <c r="AS70" i="4"/>
  <c r="AI53" i="4"/>
  <c r="AS51" i="4"/>
  <c r="AS123" i="4"/>
  <c r="AI125" i="4"/>
  <c r="AI193" i="4"/>
  <c r="AS191" i="4"/>
  <c r="AI97" i="4"/>
  <c r="AS95" i="4"/>
  <c r="AG37" i="4"/>
  <c r="W36" i="4"/>
  <c r="AS34" i="4"/>
  <c r="AG109" i="4"/>
  <c r="AS106" i="4"/>
  <c r="W108" i="4"/>
  <c r="AI145" i="4"/>
  <c r="AS143" i="4"/>
  <c r="AS145" i="4" s="1"/>
  <c r="AT145" i="4" s="1"/>
  <c r="AT143" i="4" s="1"/>
  <c r="AW143" i="4" s="1"/>
  <c r="AP81" i="4"/>
  <c r="AP80" i="4"/>
  <c r="AS75" i="4"/>
  <c r="AI77" i="4"/>
  <c r="W136" i="4"/>
  <c r="AG137" i="4"/>
  <c r="AS134" i="4"/>
  <c r="AP105" i="4"/>
  <c r="AP104" i="4"/>
  <c r="AP168" i="4"/>
  <c r="AP169" i="4"/>
  <c r="AP152" i="4"/>
  <c r="AP153" i="4"/>
  <c r="AP88" i="4"/>
  <c r="AP89" i="4"/>
  <c r="AG189" i="4"/>
  <c r="W188" i="4"/>
  <c r="AS186" i="4"/>
  <c r="AG41" i="4"/>
  <c r="W40" i="4"/>
  <c r="AS38" i="4"/>
  <c r="AI73" i="4"/>
  <c r="AS71" i="4"/>
  <c r="AP48" i="4"/>
  <c r="AP49" i="4"/>
  <c r="AG85" i="4"/>
  <c r="W84" i="4"/>
  <c r="AS82" i="4"/>
  <c r="AP116" i="4"/>
  <c r="AP117" i="4"/>
  <c r="AI57" i="4"/>
  <c r="AS55" i="4"/>
  <c r="W176" i="4"/>
  <c r="AG177" i="4"/>
  <c r="AS174" i="4"/>
  <c r="AI37" i="4"/>
  <c r="AS35" i="4"/>
  <c r="AP44" i="4"/>
  <c r="AP45" i="4"/>
  <c r="AS111" i="4"/>
  <c r="AI113" i="4"/>
  <c r="AI137" i="4"/>
  <c r="AS135" i="4"/>
  <c r="AG61" i="4"/>
  <c r="W60" i="4"/>
  <c r="AS58" i="4"/>
  <c r="AI41" i="4"/>
  <c r="AS39" i="4"/>
  <c r="AI65" i="4"/>
  <c r="AS63" i="4"/>
  <c r="AI17" i="4"/>
  <c r="AS15" i="4"/>
  <c r="AP120" i="4"/>
  <c r="AP121" i="4"/>
  <c r="AS83" i="4"/>
  <c r="AI85" i="4"/>
  <c r="AG57" i="4"/>
  <c r="W56" i="4"/>
  <c r="AS54" i="4"/>
  <c r="AI177" i="4"/>
  <c r="AS175" i="4"/>
  <c r="AS177" i="4" s="1"/>
  <c r="AT177" i="4" s="1"/>
  <c r="AT175" i="4" s="1"/>
  <c r="AW175" i="4" s="1"/>
  <c r="W156" i="4"/>
  <c r="AG157" i="4"/>
  <c r="AS154" i="4"/>
  <c r="AP100" i="4"/>
  <c r="AP101" i="4"/>
  <c r="AI197" i="4"/>
  <c r="AS195" i="4"/>
  <c r="AS197" i="4" s="1"/>
  <c r="AT197" i="4" s="1"/>
  <c r="AT195" i="4" s="1"/>
  <c r="AW195" i="4" s="1"/>
  <c r="AP129" i="4"/>
  <c r="AP128" i="4"/>
  <c r="AS163" i="4"/>
  <c r="AS165" i="4" s="1"/>
  <c r="AT165" i="4" s="1"/>
  <c r="AT163" i="4" s="1"/>
  <c r="AW163" i="4" s="1"/>
  <c r="AI165" i="4"/>
  <c r="AS77" i="4" l="1"/>
  <c r="AT77" i="4" s="1"/>
  <c r="AT75" i="4" s="1"/>
  <c r="AW75" i="4" s="1"/>
  <c r="U33" i="4"/>
  <c r="U32" i="4"/>
  <c r="U30" i="4"/>
  <c r="AV32" i="4"/>
  <c r="AV33" i="4" s="1"/>
  <c r="AV37" i="4" s="1"/>
  <c r="AS76" i="4"/>
  <c r="AT76" i="4" s="1"/>
  <c r="AT74" i="4" s="1"/>
  <c r="AW74" i="4" s="1"/>
  <c r="V28" i="4"/>
  <c r="AQ28" i="4" s="1"/>
  <c r="V26" i="4"/>
  <c r="AS91" i="4"/>
  <c r="AI93" i="4"/>
  <c r="AG93" i="4"/>
  <c r="AS90" i="4"/>
  <c r="W92" i="4"/>
  <c r="U31" i="4"/>
  <c r="AS97" i="4"/>
  <c r="AT97" i="4" s="1"/>
  <c r="AT95" i="4" s="1"/>
  <c r="AW95" i="4" s="1"/>
  <c r="AS96" i="4"/>
  <c r="AT96" i="4" s="1"/>
  <c r="AT94" i="4" s="1"/>
  <c r="AW94" i="4" s="1"/>
  <c r="V25" i="4"/>
  <c r="AQ21" i="4"/>
  <c r="AP20" i="4" s="1"/>
  <c r="AG129" i="4"/>
  <c r="W128" i="4"/>
  <c r="AS126" i="4"/>
  <c r="AI101" i="4"/>
  <c r="AS99" i="4"/>
  <c r="AS101" i="4" s="1"/>
  <c r="AT101" i="4" s="1"/>
  <c r="AT99" i="4" s="1"/>
  <c r="AW99" i="4" s="1"/>
  <c r="W48" i="4"/>
  <c r="AS46" i="4"/>
  <c r="AS48" i="4" s="1"/>
  <c r="AT48" i="4" s="1"/>
  <c r="AT46" i="4" s="1"/>
  <c r="AW46" i="4" s="1"/>
  <c r="AG49" i="4"/>
  <c r="W152" i="4"/>
  <c r="AS150" i="4"/>
  <c r="AG153" i="4"/>
  <c r="AS103" i="4"/>
  <c r="AI105" i="4"/>
  <c r="AG81" i="4"/>
  <c r="W80" i="4"/>
  <c r="AS78" i="4"/>
  <c r="AS80" i="4" s="1"/>
  <c r="AT80" i="4" s="1"/>
  <c r="AT78" i="4" s="1"/>
  <c r="AW78" i="4" s="1"/>
  <c r="AI149" i="4"/>
  <c r="AS147" i="4"/>
  <c r="AS149" i="4" s="1"/>
  <c r="AT149" i="4" s="1"/>
  <c r="AT147" i="4" s="1"/>
  <c r="AW147" i="4" s="1"/>
  <c r="W180" i="4"/>
  <c r="AG181" i="4"/>
  <c r="AS178" i="4"/>
  <c r="AI129" i="4"/>
  <c r="AS127" i="4"/>
  <c r="AS129" i="4" s="1"/>
  <c r="AT129" i="4" s="1"/>
  <c r="AT127" i="4" s="1"/>
  <c r="AW127" i="4" s="1"/>
  <c r="W100" i="4"/>
  <c r="AG101" i="4"/>
  <c r="AS98" i="4"/>
  <c r="AS100" i="4" s="1"/>
  <c r="AT100" i="4" s="1"/>
  <c r="AT98" i="4" s="1"/>
  <c r="AW98" i="4" s="1"/>
  <c r="AS92" i="4"/>
  <c r="AT92" i="4" s="1"/>
  <c r="AT90" i="4" s="1"/>
  <c r="AW90" i="4" s="1"/>
  <c r="AS156" i="4"/>
  <c r="AT156" i="4" s="1"/>
  <c r="AT154" i="4" s="1"/>
  <c r="AW154" i="4" s="1"/>
  <c r="AS93" i="4"/>
  <c r="AT93" i="4" s="1"/>
  <c r="AT91" i="4" s="1"/>
  <c r="AW91" i="4" s="1"/>
  <c r="AI121" i="4"/>
  <c r="AS119" i="4"/>
  <c r="AS43" i="4"/>
  <c r="AI45" i="4"/>
  <c r="AS112" i="4"/>
  <c r="AT112" i="4" s="1"/>
  <c r="AT110" i="4" s="1"/>
  <c r="AW110" i="4" s="1"/>
  <c r="AS113" i="4"/>
  <c r="AT113" i="4" s="1"/>
  <c r="AT111" i="4" s="1"/>
  <c r="AW111" i="4" s="1"/>
  <c r="AS176" i="4"/>
  <c r="AT176" i="4" s="1"/>
  <c r="AT174" i="4" s="1"/>
  <c r="AW174" i="4" s="1"/>
  <c r="AI89" i="4"/>
  <c r="AS87" i="4"/>
  <c r="AS167" i="4"/>
  <c r="AS169" i="4" s="1"/>
  <c r="AT169" i="4" s="1"/>
  <c r="AT167" i="4" s="1"/>
  <c r="AW167" i="4" s="1"/>
  <c r="AI169" i="4"/>
  <c r="AS72" i="4"/>
  <c r="AT72" i="4" s="1"/>
  <c r="AT70" i="4" s="1"/>
  <c r="AW70" i="4" s="1"/>
  <c r="AS73" i="4"/>
  <c r="AT73" i="4" s="1"/>
  <c r="AT71" i="4" s="1"/>
  <c r="AW71" i="4" s="1"/>
  <c r="AI81" i="4"/>
  <c r="AS79" i="4"/>
  <c r="AS81" i="4" s="1"/>
  <c r="AT81" i="4" s="1"/>
  <c r="AT79" i="4" s="1"/>
  <c r="AW79" i="4" s="1"/>
  <c r="AG69" i="4"/>
  <c r="W68" i="4"/>
  <c r="AS66" i="4"/>
  <c r="AS68" i="4" s="1"/>
  <c r="AT68" i="4" s="1"/>
  <c r="AT66" i="4" s="1"/>
  <c r="AW66" i="4" s="1"/>
  <c r="AS188" i="4"/>
  <c r="AT188" i="4" s="1"/>
  <c r="AT186" i="4" s="1"/>
  <c r="AW186" i="4" s="1"/>
  <c r="AS189" i="4"/>
  <c r="AT189" i="4" s="1"/>
  <c r="AT187" i="4" s="1"/>
  <c r="AW187" i="4" s="1"/>
  <c r="AS164" i="4"/>
  <c r="AT164" i="4" s="1"/>
  <c r="AT162" i="4" s="1"/>
  <c r="AW162" i="4" s="1"/>
  <c r="AS109" i="4"/>
  <c r="AT109" i="4" s="1"/>
  <c r="AT107" i="4" s="1"/>
  <c r="AW107" i="4" s="1"/>
  <c r="AS108" i="4"/>
  <c r="AT108" i="4" s="1"/>
  <c r="AT106" i="4" s="1"/>
  <c r="AW106" i="4" s="1"/>
  <c r="AS172" i="4"/>
  <c r="AT172" i="4" s="1"/>
  <c r="AT170" i="4" s="1"/>
  <c r="AW170" i="4" s="1"/>
  <c r="AI181" i="4"/>
  <c r="AS179" i="4"/>
  <c r="AS52" i="4"/>
  <c r="AT52" i="4" s="1"/>
  <c r="AT50" i="4" s="1"/>
  <c r="AW50" i="4" s="1"/>
  <c r="AS53" i="4"/>
  <c r="AT53" i="4" s="1"/>
  <c r="AT51" i="4" s="1"/>
  <c r="AW51" i="4" s="1"/>
  <c r="AG121" i="4"/>
  <c r="W120" i="4"/>
  <c r="AS118" i="4"/>
  <c r="W44" i="4"/>
  <c r="AG45" i="4"/>
  <c r="AS42" i="4"/>
  <c r="AI117" i="4"/>
  <c r="AS115" i="4"/>
  <c r="AS124" i="4"/>
  <c r="AT124" i="4" s="1"/>
  <c r="AT122" i="4" s="1"/>
  <c r="AW122" i="4" s="1"/>
  <c r="AS125" i="4"/>
  <c r="AT125" i="4" s="1"/>
  <c r="AT123" i="4" s="1"/>
  <c r="AW123" i="4" s="1"/>
  <c r="AG89" i="4"/>
  <c r="AS86" i="4"/>
  <c r="W88" i="4"/>
  <c r="AG169" i="4"/>
  <c r="AS166" i="4"/>
  <c r="W168" i="4"/>
  <c r="AI69" i="4"/>
  <c r="AS67" i="4"/>
  <c r="AS69" i="4" s="1"/>
  <c r="AT69" i="4" s="1"/>
  <c r="AT67" i="4" s="1"/>
  <c r="AW67" i="4" s="1"/>
  <c r="AI185" i="4"/>
  <c r="AS183" i="4"/>
  <c r="AS185" i="4" s="1"/>
  <c r="AT185" i="4" s="1"/>
  <c r="AT183" i="4" s="1"/>
  <c r="AW183" i="4" s="1"/>
  <c r="AS144" i="4"/>
  <c r="AT144" i="4" s="1"/>
  <c r="AT142" i="4" s="1"/>
  <c r="AW142" i="4" s="1"/>
  <c r="AS60" i="4"/>
  <c r="AT60" i="4" s="1"/>
  <c r="AT58" i="4" s="1"/>
  <c r="AW58" i="4" s="1"/>
  <c r="AS61" i="4"/>
  <c r="AT61" i="4" s="1"/>
  <c r="AT59" i="4" s="1"/>
  <c r="AW59" i="4" s="1"/>
  <c r="AG117" i="4"/>
  <c r="W116" i="4"/>
  <c r="AS114" i="4"/>
  <c r="AI49" i="4"/>
  <c r="AS47" i="4"/>
  <c r="AS49" i="4" s="1"/>
  <c r="AT49" i="4" s="1"/>
  <c r="AT47" i="4" s="1"/>
  <c r="AW47" i="4" s="1"/>
  <c r="AS36" i="4"/>
  <c r="AT36" i="4" s="1"/>
  <c r="AT34" i="4" s="1"/>
  <c r="AW34" i="4" s="1"/>
  <c r="AS37" i="4"/>
  <c r="AT37" i="4" s="1"/>
  <c r="AT35" i="4" s="1"/>
  <c r="AW35" i="4" s="1"/>
  <c r="AS151" i="4"/>
  <c r="AS153" i="4" s="1"/>
  <c r="AT153" i="4" s="1"/>
  <c r="AT151" i="4" s="1"/>
  <c r="AW151" i="4" s="1"/>
  <c r="AI153" i="4"/>
  <c r="W104" i="4"/>
  <c r="AG105" i="4"/>
  <c r="AS102" i="4"/>
  <c r="AG149" i="4"/>
  <c r="AS146" i="4"/>
  <c r="W148" i="4"/>
  <c r="AG185" i="4"/>
  <c r="W184" i="4"/>
  <c r="AS182" i="4"/>
  <c r="AS193" i="4"/>
  <c r="AT193" i="4" s="1"/>
  <c r="AT191" i="4" s="1"/>
  <c r="AW191" i="4" s="1"/>
  <c r="AS196" i="4"/>
  <c r="AT196" i="4" s="1"/>
  <c r="AT194" i="4" s="1"/>
  <c r="AW194" i="4" s="1"/>
  <c r="AS137" i="4"/>
  <c r="AT137" i="4" s="1"/>
  <c r="AT135" i="4" s="1"/>
  <c r="AW135" i="4" s="1"/>
  <c r="AS136" i="4"/>
  <c r="AT136" i="4" s="1"/>
  <c r="AT134" i="4" s="1"/>
  <c r="AW134" i="4" s="1"/>
  <c r="AS192" i="4"/>
  <c r="AT192" i="4" s="1"/>
  <c r="AT190" i="4" s="1"/>
  <c r="AW190" i="4" s="1"/>
  <c r="AS133" i="4"/>
  <c r="AT133" i="4" s="1"/>
  <c r="AT131" i="4" s="1"/>
  <c r="AW131" i="4" s="1"/>
  <c r="AS132" i="4"/>
  <c r="AT132" i="4" s="1"/>
  <c r="AT130" i="4" s="1"/>
  <c r="AW130" i="4" s="1"/>
  <c r="AV41" i="4" l="1"/>
  <c r="AV45" i="4" s="1"/>
  <c r="AV49" i="4" s="1"/>
  <c r="AV53" i="4" s="1"/>
  <c r="AV57" i="4" s="1"/>
  <c r="AV101" i="4"/>
  <c r="AV105" i="4" s="1"/>
  <c r="AV109" i="4" s="1"/>
  <c r="AV113" i="4" s="1"/>
  <c r="AV117" i="4" s="1"/>
  <c r="V29" i="4"/>
  <c r="AQ29" i="4" s="1"/>
  <c r="AP29" i="4"/>
  <c r="AP28" i="4"/>
  <c r="V30" i="4"/>
  <c r="AQ25" i="4"/>
  <c r="AP24" i="4" s="1"/>
  <c r="AP21" i="4"/>
  <c r="W20" i="4" s="1"/>
  <c r="AG21" i="4"/>
  <c r="AS18" i="4"/>
  <c r="AS120" i="4"/>
  <c r="AT120" i="4" s="1"/>
  <c r="AT118" i="4" s="1"/>
  <c r="AW118" i="4" s="1"/>
  <c r="AS181" i="4"/>
  <c r="AT181" i="4" s="1"/>
  <c r="AT179" i="4" s="1"/>
  <c r="AW179" i="4" s="1"/>
  <c r="AS180" i="4"/>
  <c r="AT180" i="4" s="1"/>
  <c r="AT178" i="4" s="1"/>
  <c r="AW178" i="4" s="1"/>
  <c r="AS121" i="4"/>
  <c r="AT121" i="4" s="1"/>
  <c r="AT119" i="4" s="1"/>
  <c r="AW119" i="4" s="1"/>
  <c r="AS184" i="4"/>
  <c r="AT184" i="4" s="1"/>
  <c r="AT182" i="4" s="1"/>
  <c r="AW182" i="4" s="1"/>
  <c r="AS117" i="4"/>
  <c r="AT117" i="4" s="1"/>
  <c r="AT115" i="4" s="1"/>
  <c r="AW115" i="4" s="1"/>
  <c r="AS116" i="4"/>
  <c r="AT116" i="4" s="1"/>
  <c r="AT114" i="4" s="1"/>
  <c r="AW114" i="4" s="1"/>
  <c r="AS57" i="4"/>
  <c r="AT57" i="4" s="1"/>
  <c r="AT55" i="4" s="1"/>
  <c r="AW55" i="4" s="1"/>
  <c r="AS56" i="4"/>
  <c r="AT56" i="4" s="1"/>
  <c r="AT54" i="4" s="1"/>
  <c r="AW54" i="4" s="1"/>
  <c r="AS44" i="4"/>
  <c r="AT44" i="4" s="1"/>
  <c r="AT42" i="4" s="1"/>
  <c r="AW42" i="4" s="1"/>
  <c r="AS45" i="4"/>
  <c r="AT45" i="4" s="1"/>
  <c r="AT43" i="4" s="1"/>
  <c r="AW43" i="4" s="1"/>
  <c r="AS65" i="4"/>
  <c r="AT65" i="4" s="1"/>
  <c r="AT63" i="4" s="1"/>
  <c r="AW63" i="4" s="1"/>
  <c r="AS64" i="4"/>
  <c r="AT64" i="4" s="1"/>
  <c r="AT62" i="4" s="1"/>
  <c r="AW62" i="4" s="1"/>
  <c r="AS40" i="4"/>
  <c r="AT40" i="4" s="1"/>
  <c r="AT38" i="4" s="1"/>
  <c r="AW38" i="4" s="1"/>
  <c r="AS41" i="4"/>
  <c r="AT41" i="4" s="1"/>
  <c r="AT39" i="4" s="1"/>
  <c r="AW39" i="4" s="1"/>
  <c r="AS89" i="4"/>
  <c r="AT89" i="4" s="1"/>
  <c r="AT87" i="4" s="1"/>
  <c r="AW87" i="4" s="1"/>
  <c r="AS152" i="4"/>
  <c r="AT152" i="4" s="1"/>
  <c r="AT150" i="4" s="1"/>
  <c r="AW150" i="4" s="1"/>
  <c r="AS88" i="4"/>
  <c r="AT88" i="4" s="1"/>
  <c r="AT86" i="4" s="1"/>
  <c r="AW86" i="4" s="1"/>
  <c r="AS85" i="4"/>
  <c r="AT85" i="4" s="1"/>
  <c r="AT83" i="4" s="1"/>
  <c r="AW83" i="4" s="1"/>
  <c r="AS84" i="4"/>
  <c r="AT84" i="4" s="1"/>
  <c r="AT82" i="4" s="1"/>
  <c r="AW82" i="4" s="1"/>
  <c r="AS148" i="4"/>
  <c r="AT148" i="4" s="1"/>
  <c r="AT146" i="4" s="1"/>
  <c r="AW146" i="4" s="1"/>
  <c r="AS105" i="4"/>
  <c r="AT105" i="4" s="1"/>
  <c r="AT103" i="4" s="1"/>
  <c r="AW103" i="4" s="1"/>
  <c r="AS168" i="4"/>
  <c r="AT168" i="4" s="1"/>
  <c r="AT166" i="4" s="1"/>
  <c r="AW166" i="4" s="1"/>
  <c r="AS104" i="4"/>
  <c r="AT104" i="4" s="1"/>
  <c r="AT102" i="4" s="1"/>
  <c r="AW102" i="4" s="1"/>
  <c r="AS128" i="4"/>
  <c r="AT128" i="4" s="1"/>
  <c r="AT126" i="4" s="1"/>
  <c r="AW126" i="4" s="1"/>
  <c r="V32" i="4" l="1"/>
  <c r="AS26" i="4"/>
  <c r="W28" i="4"/>
  <c r="AG29" i="4"/>
  <c r="AI29" i="4"/>
  <c r="AS27" i="4"/>
  <c r="AV121" i="4"/>
  <c r="AV125" i="4" s="1"/>
  <c r="AV129" i="4" s="1"/>
  <c r="AV133" i="4" s="1"/>
  <c r="AV137" i="4" s="1"/>
  <c r="AV141" i="4" s="1"/>
  <c r="AV145" i="4" s="1"/>
  <c r="AV149" i="4" s="1"/>
  <c r="AV153" i="4" s="1"/>
  <c r="AV157" i="4" s="1"/>
  <c r="AV161" i="4" s="1"/>
  <c r="AV165" i="4" s="1"/>
  <c r="AV169" i="4" s="1"/>
  <c r="AV173" i="4" s="1"/>
  <c r="AV177" i="4" s="1"/>
  <c r="AV181" i="4"/>
  <c r="AV185" i="4" s="1"/>
  <c r="AV189" i="4" s="1"/>
  <c r="AV193" i="4" s="1"/>
  <c r="AV197" i="4" s="1"/>
  <c r="AP25" i="4"/>
  <c r="W24" i="4" s="1"/>
  <c r="AS22" i="4"/>
  <c r="AG25" i="4"/>
  <c r="AS19" i="4"/>
  <c r="AI21" i="4"/>
  <c r="AQ32" i="4" l="1"/>
  <c r="V33" i="4"/>
  <c r="AI25" i="4"/>
  <c r="AS23" i="4"/>
  <c r="AQ33" i="4" l="1"/>
  <c r="AP32" i="4" s="1"/>
  <c r="AG33" i="4" l="1"/>
  <c r="AS30" i="4"/>
  <c r="AP33" i="4"/>
  <c r="W32" i="4" s="1"/>
  <c r="AI33" i="4" l="1"/>
  <c r="AS31" i="4"/>
  <c r="AS33" i="4" s="1"/>
  <c r="AT33" i="4" s="1"/>
  <c r="AT31" i="4" s="1"/>
  <c r="AS32" i="4"/>
  <c r="AT32" i="4" s="1"/>
  <c r="AT30" i="4" s="1"/>
  <c r="AW31" i="4" l="1"/>
  <c r="AS29" i="4"/>
  <c r="AT29" i="4" s="1"/>
  <c r="AT27" i="4" s="1"/>
  <c r="AS28" i="4"/>
  <c r="AT28" i="4" s="1"/>
  <c r="AT26" i="4" s="1"/>
  <c r="AW30" i="4"/>
  <c r="AW26" i="4" l="1"/>
  <c r="AS24" i="4"/>
  <c r="AS25" i="4"/>
  <c r="AT25" i="4" s="1"/>
  <c r="AT23" i="4" s="1"/>
  <c r="AW27" i="4"/>
  <c r="AS5" i="4" l="1"/>
  <c r="AT24" i="4"/>
  <c r="AT22" i="4" s="1"/>
  <c r="AW22" i="4" l="1"/>
  <c r="AS21" i="4"/>
  <c r="AT21" i="4" s="1"/>
  <c r="AT19" i="4" s="1"/>
  <c r="AW23" i="4"/>
  <c r="AS20" i="4"/>
  <c r="AT20" i="4" s="1"/>
  <c r="AT18" i="4" s="1"/>
  <c r="AW19" i="4" l="1"/>
  <c r="AW21" i="4" s="1"/>
  <c r="AW18" i="4"/>
  <c r="AW20" i="4" s="1"/>
  <c r="AX20" i="4" s="1"/>
  <c r="AS16" i="4"/>
  <c r="AT16" i="4" s="1"/>
  <c r="AT14" i="4" s="1"/>
  <c r="AW14" i="4" s="1"/>
  <c r="AS17" i="4"/>
  <c r="AT17" i="4" s="1"/>
  <c r="AT15" i="4" s="1"/>
  <c r="AW15" i="4" s="1"/>
  <c r="AF18" i="4" l="1"/>
  <c r="AI19" i="4"/>
  <c r="AX24" i="4"/>
  <c r="AX28" i="4" s="1"/>
  <c r="AX32" i="4" s="1"/>
  <c r="AX36" i="4" s="1"/>
  <c r="AX100" i="4" l="1"/>
  <c r="AX104" i="4" s="1"/>
  <c r="AX108" i="4" s="1"/>
  <c r="AX112" i="4" s="1"/>
  <c r="AX116" i="4" s="1"/>
  <c r="AX40" i="4"/>
  <c r="AX44" i="4" s="1"/>
  <c r="AX48" i="4" s="1"/>
  <c r="AX52" i="4" s="1"/>
  <c r="AX56" i="4" s="1"/>
  <c r="AF19" i="4"/>
  <c r="AX18" i="4"/>
  <c r="AF22" i="4"/>
  <c r="AF20" i="4"/>
  <c r="AL19" i="4" s="1"/>
  <c r="AL20" i="4"/>
  <c r="AF26" i="4" l="1"/>
  <c r="AX22" i="4"/>
  <c r="AF21" i="4"/>
  <c r="AG18" i="4"/>
  <c r="AX180" i="4"/>
  <c r="AX184" i="4" s="1"/>
  <c r="AX188" i="4" s="1"/>
  <c r="AX192" i="4" s="1"/>
  <c r="AX196" i="4" s="1"/>
  <c r="AX120" i="4"/>
  <c r="AX124" i="4" s="1"/>
  <c r="AX128" i="4" s="1"/>
  <c r="AX132" i="4" s="1"/>
  <c r="AX136" i="4" s="1"/>
  <c r="AX140" i="4" s="1"/>
  <c r="AX144" i="4" s="1"/>
  <c r="AX148" i="4" s="1"/>
  <c r="AX152" i="4" s="1"/>
  <c r="AX156" i="4" s="1"/>
  <c r="AX160" i="4" s="1"/>
  <c r="AX164" i="4" s="1"/>
  <c r="AX168" i="4" s="1"/>
  <c r="AX172" i="4" s="1"/>
  <c r="AX176" i="4" s="1"/>
  <c r="AX26" i="4" l="1"/>
  <c r="AG22" i="4"/>
  <c r="AF27" i="4" s="1"/>
  <c r="AF25" i="4"/>
  <c r="AF24" i="4"/>
  <c r="AG19" i="4"/>
  <c r="AG20" i="4"/>
  <c r="AI18" i="4"/>
  <c r="AF23" i="4"/>
  <c r="AF30" i="4"/>
  <c r="AF28" i="4"/>
  <c r="AG24" i="4" l="1"/>
  <c r="AI22" i="4"/>
  <c r="AG23" i="4"/>
  <c r="AF34" i="4"/>
  <c r="AX30" i="4"/>
  <c r="AG26" i="4"/>
  <c r="AF29" i="4"/>
  <c r="AG27" i="4" l="1"/>
  <c r="AG28" i="4"/>
  <c r="AI26" i="4"/>
  <c r="AF31" i="4"/>
  <c r="AF33" i="4"/>
  <c r="AG30" i="4"/>
  <c r="AF32" i="4"/>
  <c r="AF38" i="4"/>
  <c r="AG32" i="4" l="1"/>
  <c r="AG31" i="4"/>
  <c r="AI30" i="4"/>
  <c r="AI27" i="4" s="1"/>
  <c r="AI23" i="4"/>
  <c r="AI31" i="4"/>
  <c r="AF42" i="4"/>
  <c r="AF40" i="4"/>
  <c r="AF39" i="4"/>
  <c r="AF35" i="4"/>
  <c r="AF36" i="4"/>
  <c r="AF44" i="4" l="1"/>
  <c r="AF43" i="4"/>
  <c r="AF46" i="4"/>
  <c r="AF47" i="4" l="1"/>
  <c r="AF50" i="4"/>
  <c r="AF48" i="4"/>
  <c r="AF51" i="4" l="1"/>
  <c r="AF54" i="4"/>
  <c r="AF52" i="4"/>
  <c r="AF58" i="4" l="1"/>
  <c r="AF55" i="4"/>
  <c r="AF56" i="4"/>
  <c r="AF62" i="4" l="1"/>
  <c r="AF60" i="4"/>
  <c r="AF59" i="4"/>
  <c r="AF66" i="4" l="1"/>
  <c r="AF63" i="4"/>
  <c r="AF64" i="4"/>
  <c r="AF68" i="4" l="1"/>
  <c r="AF70" i="4"/>
  <c r="AF67" i="4"/>
  <c r="AF72" i="4" l="1"/>
  <c r="AF74" i="4"/>
  <c r="AF71" i="4"/>
  <c r="AF76" i="4" l="1"/>
  <c r="AF75" i="4"/>
  <c r="AF78" i="4"/>
  <c r="AF82" i="4" l="1"/>
  <c r="AF79" i="4"/>
  <c r="AF80" i="4"/>
  <c r="AF83" i="4" l="1"/>
  <c r="AF86" i="4"/>
  <c r="AF84" i="4"/>
  <c r="AF87" i="4" l="1"/>
  <c r="AF88" i="4"/>
  <c r="AF90" i="4"/>
  <c r="AF91" i="4" l="1"/>
  <c r="AF92" i="4"/>
  <c r="AF94" i="4"/>
  <c r="AF95" i="4" l="1"/>
  <c r="AF98" i="4"/>
  <c r="AF96" i="4"/>
  <c r="AF100" i="4" l="1"/>
  <c r="AF102" i="4"/>
  <c r="AF99" i="4"/>
  <c r="AF103" i="4" l="1"/>
  <c r="AF106" i="4"/>
  <c r="AF104" i="4"/>
  <c r="AF110" i="4" l="1"/>
  <c r="AF107" i="4"/>
  <c r="AF108" i="4"/>
  <c r="AF114" i="4" l="1"/>
  <c r="AF111" i="4"/>
  <c r="AF112" i="4"/>
  <c r="AF118" i="4" l="1"/>
  <c r="AF115" i="4"/>
  <c r="AF116" i="4"/>
  <c r="AF120" i="4" l="1"/>
  <c r="AF119" i="4"/>
  <c r="AF122" i="4"/>
  <c r="AF126" i="4" l="1"/>
  <c r="AF124" i="4"/>
  <c r="AF123" i="4"/>
  <c r="AF130" i="4" l="1"/>
  <c r="AF128" i="4"/>
  <c r="AF127" i="4"/>
  <c r="AF132" i="4" l="1"/>
  <c r="AF134" i="4"/>
  <c r="AF131" i="4"/>
  <c r="AF135" i="4" l="1"/>
  <c r="AF136" i="4"/>
  <c r="AF138" i="4"/>
  <c r="AF140" i="4" l="1"/>
  <c r="AF142" i="4"/>
  <c r="AF139" i="4"/>
  <c r="AF146" i="4" l="1"/>
  <c r="AF144" i="4"/>
  <c r="AF143" i="4"/>
  <c r="AF150" i="4" l="1"/>
  <c r="AF148" i="4"/>
  <c r="AF147" i="4"/>
  <c r="AF151" i="4" l="1"/>
  <c r="AF154" i="4"/>
  <c r="AF152" i="4"/>
  <c r="AF155" i="4" l="1"/>
  <c r="AF158" i="4"/>
  <c r="AF156" i="4"/>
  <c r="AF162" i="4" l="1"/>
  <c r="AF159" i="4"/>
  <c r="AF160" i="4"/>
  <c r="AF163" i="4" l="1"/>
  <c r="AF166" i="4"/>
  <c r="AF164" i="4"/>
  <c r="AF168" i="4" l="1"/>
  <c r="AF170" i="4"/>
  <c r="AF167" i="4"/>
  <c r="AF174" i="4" l="1"/>
  <c r="AF172" i="4"/>
  <c r="AF171" i="4"/>
  <c r="AF178" i="4" l="1"/>
  <c r="AF175" i="4"/>
  <c r="AF176" i="4"/>
  <c r="AF182" i="4" l="1"/>
  <c r="AF179" i="4"/>
  <c r="AF180" i="4"/>
  <c r="AF186" i="4" l="1"/>
  <c r="AF190" i="4" s="1"/>
  <c r="AF184" i="4"/>
  <c r="AF183" i="4"/>
  <c r="AF192" i="4" l="1"/>
  <c r="AF191" i="4"/>
  <c r="AF188" i="4"/>
  <c r="AF187" i="4"/>
  <c r="AF194" i="4" l="1"/>
  <c r="AF196" i="4" l="1"/>
  <c r="AF195" i="4"/>
</calcChain>
</file>

<file path=xl/comments1.xml><?xml version="1.0" encoding="utf-8"?>
<comments xmlns="http://schemas.openxmlformats.org/spreadsheetml/2006/main">
  <authors>
    <author>ESE SERVICE</author>
    <author>ＥＳＥ　ＳＥＲＶＩＣＥ</author>
    <author>ＥＳＥ SERVICE</author>
  </authors>
  <commentList>
    <comment ref="L3" authorId="0">
      <text>
        <r>
          <rPr>
            <b/>
            <sz val="20"/>
            <color indexed="12"/>
            <rFont val="ＭＳ 明朝"/>
            <family val="1"/>
            <charset val="128"/>
          </rPr>
          <t xml:space="preserve"> </t>
        </r>
        <r>
          <rPr>
            <b/>
            <sz val="16"/>
            <color indexed="12"/>
            <rFont val="ＭＳ 明朝"/>
            <family val="1"/>
            <charset val="128"/>
          </rPr>
          <t xml:space="preserve">単独幹線および分岐幹線の定常時におけ
 る送電端，受電端電圧、負荷電流、力率
 の確認，進相コンデンサ容量の決定等に
 ご利用できます。
</t>
        </r>
        <r>
          <rPr>
            <sz val="11"/>
            <color indexed="81"/>
            <rFont val="ＭＳ 明朝"/>
            <family val="1"/>
            <charset val="128"/>
          </rPr>
          <t xml:space="preserve">　 </t>
        </r>
        <r>
          <rPr>
            <sz val="11"/>
            <color indexed="81"/>
            <rFont val="ＭＳ ゴシック"/>
            <family val="3"/>
            <charset val="128"/>
          </rPr>
          <t>コメント文</t>
        </r>
        <r>
          <rPr>
            <sz val="16"/>
            <color indexed="47"/>
            <rFont val="ＭＳ Ｐゴシック"/>
            <family val="3"/>
            <charset val="128"/>
          </rPr>
          <t>■</t>
        </r>
        <r>
          <rPr>
            <sz val="11"/>
            <color indexed="81"/>
            <rFont val="ＭＳ Ｐゴシック"/>
            <family val="3"/>
            <charset val="128"/>
          </rPr>
          <t xml:space="preserve"> は、入力が、必要な”セル”です。
</t>
        </r>
        <r>
          <rPr>
            <sz val="11"/>
            <color indexed="81"/>
            <rFont val="ＭＳ ゴシック"/>
            <family val="3"/>
            <charset val="128"/>
          </rPr>
          <t xml:space="preserve">　　　       </t>
        </r>
        <r>
          <rPr>
            <sz val="16"/>
            <color indexed="44"/>
            <rFont val="ＭＳ Ｐゴシック"/>
            <family val="3"/>
            <charset val="128"/>
          </rPr>
          <t>■</t>
        </r>
        <r>
          <rPr>
            <sz val="11"/>
            <color indexed="44"/>
            <rFont val="ＭＳ Ｐゴシック"/>
            <family val="3"/>
            <charset val="128"/>
          </rPr>
          <t xml:space="preserve"> </t>
        </r>
        <r>
          <rPr>
            <sz val="11"/>
            <color indexed="81"/>
            <rFont val="ＭＳ Ｐゴシック"/>
            <family val="3"/>
            <charset val="128"/>
          </rPr>
          <t xml:space="preserve">は、コピ－が可能な”セル”です。
</t>
        </r>
        <r>
          <rPr>
            <sz val="11"/>
            <color indexed="81"/>
            <rFont val="ＭＳ ゴシック"/>
            <family val="3"/>
            <charset val="128"/>
          </rPr>
          <t xml:space="preserve">　　　       </t>
        </r>
        <r>
          <rPr>
            <sz val="16"/>
            <color indexed="26"/>
            <rFont val="ＭＳ Ｐゴシック"/>
            <family val="3"/>
            <charset val="128"/>
          </rPr>
          <t>■</t>
        </r>
        <r>
          <rPr>
            <sz val="11"/>
            <color indexed="43"/>
            <rFont val="ＭＳ Ｐゴシック"/>
            <family val="3"/>
            <charset val="128"/>
          </rPr>
          <t xml:space="preserve"> </t>
        </r>
        <r>
          <rPr>
            <sz val="11"/>
            <color indexed="81"/>
            <rFont val="ＭＳ Ｐゴシック"/>
            <family val="3"/>
            <charset val="128"/>
          </rPr>
          <t xml:space="preserve">は、ご説明文等です。
</t>
        </r>
        <r>
          <rPr>
            <sz val="11"/>
            <color indexed="81"/>
            <rFont val="ＭＳ ゴシック"/>
            <family val="3"/>
            <charset val="128"/>
          </rPr>
          <t>　　 入力セル</t>
        </r>
        <r>
          <rPr>
            <sz val="16"/>
            <color indexed="43"/>
            <rFont val="ＭＳ Ｐゴシック"/>
            <family val="3"/>
            <charset val="128"/>
          </rPr>
          <t>■</t>
        </r>
        <r>
          <rPr>
            <sz val="11"/>
            <color indexed="81"/>
            <rFont val="ＭＳ Ｐゴシック"/>
            <family val="3"/>
            <charset val="128"/>
          </rPr>
          <t xml:space="preserve"> は、必要事項を入力して下さい。
</t>
        </r>
        <r>
          <rPr>
            <sz val="11"/>
            <color indexed="81"/>
            <rFont val="ＭＳ ゴシック"/>
            <family val="3"/>
            <charset val="128"/>
          </rPr>
          <t>　　 計算セル</t>
        </r>
        <r>
          <rPr>
            <sz val="16"/>
            <color indexed="9"/>
            <rFont val="ＭＳ Ｐゴシック"/>
            <family val="3"/>
            <charset val="128"/>
          </rPr>
          <t>■</t>
        </r>
        <r>
          <rPr>
            <sz val="11"/>
            <color indexed="81"/>
            <rFont val="ＭＳ Ｐゴシック"/>
            <family val="3"/>
            <charset val="128"/>
          </rPr>
          <t xml:space="preserve"> は、自動計算しますので、入力はできません。</t>
        </r>
      </text>
    </comment>
    <comment ref="N5" authorId="0">
      <text>
        <r>
          <rPr>
            <b/>
            <sz val="16"/>
            <color indexed="81"/>
            <rFont val="ＭＳ Ｐゴシック"/>
            <family val="3"/>
            <charset val="128"/>
          </rPr>
          <t xml:space="preserve"> </t>
        </r>
        <r>
          <rPr>
            <b/>
            <sz val="11"/>
            <color indexed="81"/>
            <rFont val="ＭＳ Ｐゴシック"/>
            <family val="3"/>
            <charset val="128"/>
          </rPr>
          <t>……</t>
        </r>
        <r>
          <rPr>
            <b/>
            <sz val="11"/>
            <color indexed="10"/>
            <rFont val="ＭＳ Ｐゴシック"/>
            <family val="3"/>
            <charset val="128"/>
          </rPr>
          <t>高圧進相コンデンサ</t>
        </r>
        <r>
          <rPr>
            <sz val="10"/>
            <color indexed="12"/>
            <rFont val="ＭＳ Ｐゴシック"/>
            <family val="3"/>
            <charset val="128"/>
          </rPr>
          <t>［ニチコン（株）1991.5］</t>
        </r>
        <r>
          <rPr>
            <b/>
            <sz val="10"/>
            <color indexed="81"/>
            <rFont val="ＭＳ Ｐゴシック"/>
            <family val="3"/>
            <charset val="128"/>
          </rPr>
          <t>……</t>
        </r>
        <r>
          <rPr>
            <b/>
            <sz val="9"/>
            <color indexed="81"/>
            <rFont val="ＭＳ Ｐゴシック"/>
            <family val="3"/>
            <charset val="128"/>
          </rPr>
          <t xml:space="preserve">
</t>
        </r>
        <r>
          <rPr>
            <b/>
            <sz val="2"/>
            <color indexed="81"/>
            <rFont val="ＭＳ Ｐゴシック"/>
            <family val="3"/>
            <charset val="128"/>
          </rPr>
          <t xml:space="preserve">
        </t>
        </r>
        <r>
          <rPr>
            <sz val="10"/>
            <color indexed="81"/>
            <rFont val="ＭＳ Ｐゴシック"/>
            <family val="3"/>
            <charset val="128"/>
          </rPr>
          <t>3300V，6600V-50Hz，60Hz（</t>
        </r>
        <r>
          <rPr>
            <sz val="10"/>
            <color indexed="14"/>
            <rFont val="ＭＳ Ｐゴシック"/>
            <family val="3"/>
            <charset val="128"/>
          </rPr>
          <t>直列リアクトル</t>
        </r>
        <r>
          <rPr>
            <sz val="10"/>
            <color indexed="10"/>
            <rFont val="ＭＳ Ｐゴシック"/>
            <family val="3"/>
            <charset val="128"/>
          </rPr>
          <t>なし</t>
        </r>
        <r>
          <rPr>
            <sz val="10"/>
            <color indexed="81"/>
            <rFont val="ＭＳ Ｐゴシック"/>
            <family val="3"/>
            <charset val="128"/>
          </rPr>
          <t>）</t>
        </r>
        <r>
          <rPr>
            <b/>
            <sz val="9"/>
            <color indexed="81"/>
            <rFont val="ＭＳ Ｐゴシック"/>
            <family val="3"/>
            <charset val="128"/>
          </rPr>
          <t xml:space="preserve">
</t>
        </r>
        <r>
          <rPr>
            <b/>
            <sz val="9"/>
            <color indexed="81"/>
            <rFont val="ＭＳ ゴシック"/>
            <family val="3"/>
            <charset val="128"/>
          </rPr>
          <t xml:space="preserve">     50, 75,100,150,200,250,300</t>
        </r>
        <r>
          <rPr>
            <b/>
            <sz val="9"/>
            <color indexed="81"/>
            <rFont val="ＭＳ Ｐゴシック"/>
            <family val="3"/>
            <charset val="128"/>
          </rPr>
          <t xml:space="preserve"> </t>
        </r>
        <r>
          <rPr>
            <sz val="10"/>
            <color indexed="81"/>
            <rFont val="ＭＳ Ｐゴシック"/>
            <family val="3"/>
            <charset val="128"/>
          </rPr>
          <t>[KVar]</t>
        </r>
        <r>
          <rPr>
            <b/>
            <sz val="9"/>
            <color indexed="81"/>
            <rFont val="ＭＳ Ｐゴシック"/>
            <family val="3"/>
            <charset val="128"/>
          </rPr>
          <t xml:space="preserve">
   </t>
        </r>
        <r>
          <rPr>
            <sz val="10"/>
            <color indexed="81"/>
            <rFont val="ＭＳ Ｐゴシック"/>
            <family val="3"/>
            <charset val="128"/>
          </rPr>
          <t>3300V，6600V-50Hz，60Hz（</t>
        </r>
        <r>
          <rPr>
            <sz val="10"/>
            <color indexed="14"/>
            <rFont val="ＭＳ Ｐゴシック"/>
            <family val="3"/>
            <charset val="128"/>
          </rPr>
          <t>直列リアクトル</t>
        </r>
        <r>
          <rPr>
            <sz val="10"/>
            <color indexed="10"/>
            <rFont val="ＭＳ Ｐゴシック"/>
            <family val="3"/>
            <charset val="128"/>
          </rPr>
          <t>６％</t>
        </r>
        <r>
          <rPr>
            <sz val="10"/>
            <color indexed="81"/>
            <rFont val="ＭＳ Ｐゴシック"/>
            <family val="3"/>
            <charset val="128"/>
          </rPr>
          <t>）</t>
        </r>
        <r>
          <rPr>
            <b/>
            <sz val="9"/>
            <color indexed="81"/>
            <rFont val="ＭＳ Ｐゴシック"/>
            <family val="3"/>
            <charset val="128"/>
          </rPr>
          <t xml:space="preserve">
</t>
        </r>
        <r>
          <rPr>
            <b/>
            <sz val="9"/>
            <color indexed="81"/>
            <rFont val="ＭＳ ゴシック"/>
            <family val="3"/>
            <charset val="128"/>
          </rPr>
          <t xml:space="preserve">     50, 75,100,150,200,250,300,400,500,600,
 　 </t>
        </r>
        <r>
          <rPr>
            <b/>
            <sz val="9"/>
            <color indexed="55"/>
            <rFont val="ＭＳ ゴシック"/>
            <family val="3"/>
            <charset val="128"/>
          </rPr>
          <t>700</t>
        </r>
        <r>
          <rPr>
            <b/>
            <sz val="9"/>
            <color indexed="81"/>
            <rFont val="ＭＳ ゴシック"/>
            <family val="3"/>
            <charset val="128"/>
          </rPr>
          <t>,750,</t>
        </r>
        <r>
          <rPr>
            <b/>
            <sz val="9"/>
            <color indexed="55"/>
            <rFont val="ＭＳ ゴシック"/>
            <family val="3"/>
            <charset val="128"/>
          </rPr>
          <t>800</t>
        </r>
        <r>
          <rPr>
            <b/>
            <sz val="9"/>
            <color indexed="81"/>
            <rFont val="ＭＳ ゴシック"/>
            <family val="3"/>
            <charset val="128"/>
          </rPr>
          <t>,</t>
        </r>
        <r>
          <rPr>
            <b/>
            <sz val="9"/>
            <color indexed="55"/>
            <rFont val="ＭＳ ゴシック"/>
            <family val="3"/>
            <charset val="128"/>
          </rPr>
          <t>900</t>
        </r>
        <r>
          <rPr>
            <b/>
            <sz val="9"/>
            <color indexed="81"/>
            <rFont val="ＭＳ ゴシック"/>
            <family val="3"/>
            <charset val="128"/>
          </rPr>
          <t>,1000</t>
        </r>
        <r>
          <rPr>
            <sz val="10"/>
            <color indexed="81"/>
            <rFont val="ＭＳ Ｐゴシック"/>
            <family val="3"/>
            <charset val="128"/>
          </rPr>
          <t>[KVar]</t>
        </r>
        <r>
          <rPr>
            <b/>
            <sz val="9"/>
            <color indexed="81"/>
            <rFont val="ＭＳ Ｐゴシック"/>
            <family val="3"/>
            <charset val="128"/>
          </rPr>
          <t xml:space="preserve">
  </t>
        </r>
        <r>
          <rPr>
            <sz val="10"/>
            <color indexed="81"/>
            <rFont val="ＭＳ Ｐゴシック"/>
            <family val="3"/>
            <charset val="128"/>
          </rPr>
          <t xml:space="preserve"> 3300V，6600V-50Hz，60Hz（</t>
        </r>
        <r>
          <rPr>
            <sz val="10"/>
            <color indexed="14"/>
            <rFont val="ＭＳ Ｐゴシック"/>
            <family val="3"/>
            <charset val="128"/>
          </rPr>
          <t>直列リアクトル</t>
        </r>
        <r>
          <rPr>
            <sz val="10"/>
            <color indexed="10"/>
            <rFont val="ＭＳ Ｐゴシック"/>
            <family val="3"/>
            <charset val="128"/>
          </rPr>
          <t>13％</t>
        </r>
        <r>
          <rPr>
            <sz val="9"/>
            <color indexed="81"/>
            <rFont val="ＭＳ Ｐゴシック"/>
            <family val="3"/>
            <charset val="128"/>
          </rPr>
          <t>）</t>
        </r>
        <r>
          <rPr>
            <b/>
            <sz val="9"/>
            <color indexed="81"/>
            <rFont val="ＭＳ Ｐゴシック"/>
            <family val="3"/>
            <charset val="128"/>
          </rPr>
          <t xml:space="preserve">
</t>
        </r>
        <r>
          <rPr>
            <b/>
            <sz val="9"/>
            <color indexed="81"/>
            <rFont val="ＭＳ ゴシック"/>
            <family val="3"/>
            <charset val="128"/>
          </rPr>
          <t xml:space="preserve">     50, 75,100,150,200,250,300,400,500</t>
        </r>
        <r>
          <rPr>
            <sz val="10"/>
            <color indexed="81"/>
            <rFont val="ＭＳ Ｐゴシック"/>
            <family val="3"/>
            <charset val="128"/>
          </rPr>
          <t>[KVar]</t>
        </r>
        <r>
          <rPr>
            <b/>
            <sz val="9"/>
            <color indexed="81"/>
            <rFont val="ＭＳ Ｐゴシック"/>
            <family val="3"/>
            <charset val="128"/>
          </rPr>
          <t xml:space="preserve">
</t>
        </r>
        <r>
          <rPr>
            <b/>
            <sz val="9"/>
            <color indexed="81"/>
            <rFont val="ＭＳ Ｐゴシック"/>
            <family val="3"/>
            <charset val="128"/>
          </rPr>
          <t xml:space="preserve">
 </t>
        </r>
        <r>
          <rPr>
            <sz val="10"/>
            <color indexed="81"/>
            <rFont val="ＭＳ Ｐゴシック"/>
            <family val="3"/>
            <charset val="128"/>
          </rPr>
          <t xml:space="preserve">  </t>
        </r>
        <r>
          <rPr>
            <sz val="10"/>
            <color indexed="12"/>
            <rFont val="ＭＳ Ｐゴシック"/>
            <family val="3"/>
            <charset val="128"/>
          </rPr>
          <t>(注)いづれの場合にも､</t>
        </r>
        <r>
          <rPr>
            <b/>
            <sz val="10"/>
            <color indexed="81"/>
            <rFont val="ＭＳ Ｐゴシック"/>
            <family val="3"/>
            <charset val="128"/>
          </rPr>
          <t>太字</t>
        </r>
        <r>
          <rPr>
            <sz val="10"/>
            <color indexed="12"/>
            <rFont val="ＭＳ Ｐゴシック"/>
            <family val="3"/>
            <charset val="128"/>
          </rPr>
          <t>の数値を入力して下さい。</t>
        </r>
      </text>
    </comment>
    <comment ref="P5" authorId="0">
      <text>
        <r>
          <rPr>
            <sz val="16"/>
            <color indexed="81"/>
            <rFont val="ＭＳ Ｐゴシック"/>
            <family val="3"/>
            <charset val="128"/>
          </rPr>
          <t xml:space="preserve"> </t>
        </r>
        <r>
          <rPr>
            <b/>
            <sz val="11"/>
            <color indexed="81"/>
            <rFont val="ＭＳ Ｐゴシック"/>
            <family val="3"/>
            <charset val="128"/>
          </rPr>
          <t>……</t>
        </r>
        <r>
          <rPr>
            <b/>
            <sz val="11"/>
            <color indexed="10"/>
            <rFont val="ＭＳ Ｐゴシック"/>
            <family val="3"/>
            <charset val="128"/>
          </rPr>
          <t>低圧進相コンデンサ</t>
        </r>
        <r>
          <rPr>
            <sz val="9"/>
            <color indexed="12"/>
            <rFont val="ＭＳ Ｐゴシック"/>
            <family val="3"/>
            <charset val="128"/>
          </rPr>
          <t>［ニチコン（株）1991.5］</t>
        </r>
        <r>
          <rPr>
            <b/>
            <sz val="11"/>
            <color indexed="81"/>
            <rFont val="ＭＳ Ｐゴシック"/>
            <family val="3"/>
            <charset val="128"/>
          </rPr>
          <t xml:space="preserve">……
</t>
        </r>
        <r>
          <rPr>
            <sz val="16"/>
            <color indexed="81"/>
            <rFont val="ＭＳ Ｐゴシック"/>
            <family val="3"/>
            <charset val="128"/>
          </rPr>
          <t xml:space="preserve"> </t>
        </r>
        <r>
          <rPr>
            <sz val="10"/>
            <color indexed="81"/>
            <rFont val="ＭＳ Ｐゴシック"/>
            <family val="3"/>
            <charset val="128"/>
          </rPr>
          <t>200V，220V-50Hz，60Hz（</t>
        </r>
        <r>
          <rPr>
            <sz val="10"/>
            <color indexed="14"/>
            <rFont val="ＭＳ Ｐゴシック"/>
            <family val="3"/>
            <charset val="128"/>
          </rPr>
          <t>直列リアクトル</t>
        </r>
        <r>
          <rPr>
            <sz val="10"/>
            <color indexed="10"/>
            <rFont val="ＭＳ Ｐゴシック"/>
            <family val="3"/>
            <charset val="128"/>
          </rPr>
          <t>なし</t>
        </r>
        <r>
          <rPr>
            <sz val="10"/>
            <color indexed="81"/>
            <rFont val="ＭＳ Ｐゴシック"/>
            <family val="3"/>
            <charset val="128"/>
          </rPr>
          <t xml:space="preserve">）
</t>
        </r>
        <r>
          <rPr>
            <b/>
            <sz val="9"/>
            <color indexed="81"/>
            <rFont val="ＭＳ ゴシック"/>
            <family val="3"/>
            <charset val="128"/>
          </rPr>
          <t xml:space="preserve">     10, 15, 20, 25, 30, 50</t>
        </r>
        <r>
          <rPr>
            <sz val="10"/>
            <color indexed="81"/>
            <rFont val="ＭＳ ゴシック"/>
            <family val="3"/>
            <charset val="128"/>
          </rPr>
          <t xml:space="preserve">[KVar]
 </t>
        </r>
        <r>
          <rPr>
            <sz val="10"/>
            <color indexed="81"/>
            <rFont val="ＭＳ Ｐゴシック"/>
            <family val="3"/>
            <charset val="128"/>
          </rPr>
          <t>200V，220V-50Hz，60Hz（</t>
        </r>
        <r>
          <rPr>
            <sz val="10"/>
            <color indexed="14"/>
            <rFont val="ＭＳ Ｐゴシック"/>
            <family val="3"/>
            <charset val="128"/>
          </rPr>
          <t>直列リアクトル</t>
        </r>
        <r>
          <rPr>
            <sz val="10"/>
            <color indexed="10"/>
            <rFont val="ＭＳ Ｐゴシック"/>
            <family val="3"/>
            <charset val="128"/>
          </rPr>
          <t>６％</t>
        </r>
        <r>
          <rPr>
            <sz val="10"/>
            <color indexed="81"/>
            <rFont val="ＭＳ Ｐゴシック"/>
            <family val="3"/>
            <charset val="128"/>
          </rPr>
          <t>）</t>
        </r>
        <r>
          <rPr>
            <sz val="10"/>
            <color indexed="81"/>
            <rFont val="ＭＳ ゴシック"/>
            <family val="3"/>
            <charset val="128"/>
          </rPr>
          <t xml:space="preserve">
 </t>
        </r>
        <r>
          <rPr>
            <b/>
            <sz val="9"/>
            <color indexed="81"/>
            <rFont val="ＭＳ ゴシック"/>
            <family val="3"/>
            <charset val="128"/>
          </rPr>
          <t>　  10, 15, 20, 25, 30, 40, 50, 75,100</t>
        </r>
        <r>
          <rPr>
            <sz val="10"/>
            <color indexed="81"/>
            <rFont val="ＭＳ ゴシック"/>
            <family val="3"/>
            <charset val="128"/>
          </rPr>
          <t xml:space="preserve">[KVar]
</t>
        </r>
        <r>
          <rPr>
            <sz val="10"/>
            <color indexed="81"/>
            <rFont val="ＭＳ Ｐゴシック"/>
            <family val="3"/>
            <charset val="128"/>
          </rPr>
          <t xml:space="preserve">  400，415，440，460V-50Hz，60Hz（</t>
        </r>
        <r>
          <rPr>
            <sz val="10"/>
            <color indexed="14"/>
            <rFont val="ＭＳ Ｐゴシック"/>
            <family val="3"/>
            <charset val="128"/>
          </rPr>
          <t>直列リアクトル</t>
        </r>
        <r>
          <rPr>
            <sz val="10"/>
            <color indexed="10"/>
            <rFont val="ＭＳ Ｐゴシック"/>
            <family val="3"/>
            <charset val="128"/>
          </rPr>
          <t>なし</t>
        </r>
        <r>
          <rPr>
            <sz val="10"/>
            <color indexed="81"/>
            <rFont val="ＭＳ Ｐゴシック"/>
            <family val="3"/>
            <charset val="128"/>
          </rPr>
          <t>）</t>
        </r>
        <r>
          <rPr>
            <sz val="10"/>
            <color indexed="81"/>
            <rFont val="ＭＳ ゴシック"/>
            <family val="3"/>
            <charset val="128"/>
          </rPr>
          <t xml:space="preserve">
</t>
        </r>
        <r>
          <rPr>
            <b/>
            <sz val="9"/>
            <color indexed="81"/>
            <rFont val="ＭＳ ゴシック"/>
            <family val="3"/>
            <charset val="128"/>
          </rPr>
          <t xml:space="preserve">     10, 15, 20, 25, 30, 50, 75,100,150</t>
        </r>
        <r>
          <rPr>
            <sz val="10"/>
            <color indexed="81"/>
            <rFont val="ＭＳ ゴシック"/>
            <family val="3"/>
            <charset val="128"/>
          </rPr>
          <t xml:space="preserve">[KVar]
</t>
        </r>
        <r>
          <rPr>
            <sz val="10"/>
            <color indexed="81"/>
            <rFont val="ＭＳ Ｐゴシック"/>
            <family val="3"/>
            <charset val="128"/>
          </rPr>
          <t xml:space="preserve">  400，415，440，460V-50Hz，60Hz（</t>
        </r>
        <r>
          <rPr>
            <sz val="10"/>
            <color indexed="14"/>
            <rFont val="ＭＳ Ｐゴシック"/>
            <family val="3"/>
            <charset val="128"/>
          </rPr>
          <t>直列リアクトル</t>
        </r>
        <r>
          <rPr>
            <sz val="10"/>
            <color indexed="10"/>
            <rFont val="ＭＳ Ｐゴシック"/>
            <family val="3"/>
            <charset val="128"/>
          </rPr>
          <t>6％</t>
        </r>
        <r>
          <rPr>
            <sz val="10"/>
            <color indexed="81"/>
            <rFont val="ＭＳ Ｐゴシック"/>
            <family val="3"/>
            <charset val="128"/>
          </rPr>
          <t>）</t>
        </r>
        <r>
          <rPr>
            <sz val="10"/>
            <color indexed="81"/>
            <rFont val="ＭＳ ゴシック"/>
            <family val="3"/>
            <charset val="128"/>
          </rPr>
          <t xml:space="preserve">
</t>
        </r>
        <r>
          <rPr>
            <b/>
            <sz val="9"/>
            <color indexed="81"/>
            <rFont val="ＭＳ ゴシック"/>
            <family val="3"/>
            <charset val="128"/>
          </rPr>
          <t xml:space="preserve">     10, 15, 20, 25, 30, 50, 75,100,150,200
    250,300</t>
        </r>
        <r>
          <rPr>
            <sz val="10"/>
            <color indexed="81"/>
            <rFont val="ＭＳ ゴシック"/>
            <family val="3"/>
            <charset val="128"/>
          </rPr>
          <t>[KVar]</t>
        </r>
      </text>
    </comment>
    <comment ref="C8" authorId="0">
      <text>
        <r>
          <rPr>
            <b/>
            <sz val="14"/>
            <color indexed="81"/>
            <rFont val="ＭＳ Ｐゴシック"/>
            <family val="3"/>
            <charset val="128"/>
          </rPr>
          <t xml:space="preserve">印刷範囲
</t>
        </r>
        <r>
          <rPr>
            <b/>
            <sz val="10"/>
            <color indexed="81"/>
            <rFont val="ＭＳ Ｐゴシック"/>
            <family val="3"/>
            <charset val="128"/>
          </rPr>
          <t>　</t>
        </r>
        <r>
          <rPr>
            <b/>
            <sz val="10"/>
            <color indexed="14"/>
            <rFont val="ＭＳ Ｐゴシック"/>
            <family val="3"/>
            <charset val="128"/>
          </rPr>
          <t>(1 page)</t>
        </r>
      </text>
    </comment>
    <comment ref="E9" authorId="0">
      <text>
        <r>
          <rPr>
            <b/>
            <sz val="16"/>
            <color indexed="10"/>
            <rFont val="ＭＳ Ｐゴシック"/>
            <family val="3"/>
            <charset val="128"/>
          </rPr>
          <t xml:space="preserve"> </t>
        </r>
        <r>
          <rPr>
            <b/>
            <sz val="14"/>
            <color indexed="10"/>
            <rFont val="ＭＳ Ｐゴシック"/>
            <family val="3"/>
            <charset val="128"/>
          </rPr>
          <t>←</t>
        </r>
        <r>
          <rPr>
            <b/>
            <sz val="11"/>
            <color indexed="81"/>
            <rFont val="ＭＳ Ｐゴシック"/>
            <family val="3"/>
            <charset val="128"/>
          </rPr>
          <t>コピ－用デ－タ
　 　から貼り付けて
　 　修正して下さい。</t>
        </r>
        <r>
          <rPr>
            <sz val="11"/>
            <color indexed="81"/>
            <rFont val="ＭＳ Ｐゴシック"/>
            <family val="3"/>
            <charset val="128"/>
          </rPr>
          <t xml:space="preserve">                            
　  ………参考………                                    　　　
   </t>
        </r>
        <r>
          <rPr>
            <b/>
            <sz val="11"/>
            <color indexed="10"/>
            <rFont val="ＭＳ Ｐゴシック"/>
            <family val="3"/>
            <charset val="128"/>
          </rPr>
          <t>Ａ</t>
        </r>
        <r>
          <rPr>
            <b/>
            <sz val="11"/>
            <color indexed="10"/>
            <rFont val="ＭＳ ゴシック"/>
            <family val="3"/>
            <charset val="128"/>
          </rPr>
          <t>-１Ｌ-３</t>
        </r>
        <r>
          <rPr>
            <sz val="11"/>
            <color indexed="8"/>
            <rFont val="ＭＳ Ｐゴシック"/>
            <family val="3"/>
            <charset val="128"/>
          </rPr>
          <t>(盤名称)</t>
        </r>
        <r>
          <rPr>
            <b/>
            <sz val="10"/>
            <color indexed="10"/>
            <rFont val="ＭＳ Ｐゴシック"/>
            <family val="3"/>
            <charset val="128"/>
          </rPr>
          <t xml:space="preserve"> </t>
        </r>
        <r>
          <rPr>
            <sz val="11"/>
            <color indexed="81"/>
            <rFont val="ＭＳ Ｐゴシック"/>
            <family val="3"/>
            <charset val="128"/>
          </rPr>
          <t xml:space="preserve">　　　
　↓  ↓↓  ↓　   　　　　　  　　　　　　　　　　　　　　　　　　　　　　　　　　　 　　　　　　　　　　　　　　　　　 　   　　　　　  　　　　　　　　　　　　   　　　 　           
</t>
        </r>
        <r>
          <rPr>
            <sz val="11"/>
            <color indexed="81"/>
            <rFont val="ＭＳ ゴシック"/>
            <family val="3"/>
            <charset val="128"/>
          </rPr>
          <t xml:space="preserve"> </t>
        </r>
        <r>
          <rPr>
            <b/>
            <sz val="11"/>
            <color indexed="12"/>
            <rFont val="ＭＳ ゴシック"/>
            <family val="3"/>
            <charset val="128"/>
          </rPr>
          <t xml:space="preserve">設 設照 通
 置 置明 し
 棟 階分 番
 </t>
        </r>
        <r>
          <rPr>
            <sz val="11"/>
            <color indexed="12"/>
            <rFont val="ＭＳ ゴシック"/>
            <family val="3"/>
            <charset val="128"/>
          </rPr>
          <t xml:space="preserve">     </t>
        </r>
        <r>
          <rPr>
            <b/>
            <sz val="11"/>
            <color indexed="12"/>
            <rFont val="ＭＳ ゴシック"/>
            <family val="3"/>
            <charset val="128"/>
          </rPr>
          <t>電 号
　　  盤</t>
        </r>
        <r>
          <rPr>
            <b/>
            <sz val="11"/>
            <color indexed="12"/>
            <rFont val="ＭＳ Ｐゴシック"/>
            <family val="3"/>
            <charset val="128"/>
          </rPr>
          <t xml:space="preserve">　　 </t>
        </r>
      </text>
    </comment>
    <comment ref="F9" authorId="0">
      <text>
        <r>
          <rPr>
            <sz val="16"/>
            <color indexed="81"/>
            <rFont val="ＭＳ Ｐゴシック"/>
            <family val="3"/>
            <charset val="128"/>
          </rPr>
          <t xml:space="preserve">  </t>
        </r>
        <r>
          <rPr>
            <b/>
            <sz val="11"/>
            <color indexed="81"/>
            <rFont val="ＭＳ Ｐゴシック"/>
            <family val="3"/>
            <charset val="128"/>
          </rPr>
          <t>……</t>
        </r>
        <r>
          <rPr>
            <b/>
            <sz val="11"/>
            <color indexed="14"/>
            <rFont val="ＭＳ Ｐゴシック"/>
            <family val="3"/>
            <charset val="128"/>
          </rPr>
          <t>（注）</t>
        </r>
        <r>
          <rPr>
            <b/>
            <sz val="11"/>
            <color indexed="12"/>
            <rFont val="ＭＳ Ｐゴシック"/>
            <family val="3"/>
            <charset val="128"/>
          </rPr>
          <t>半角入力</t>
        </r>
        <r>
          <rPr>
            <b/>
            <sz val="11"/>
            <color indexed="81"/>
            <rFont val="ＭＳ Ｐゴシック"/>
            <family val="3"/>
            <charset val="128"/>
          </rPr>
          <t>とする。……</t>
        </r>
        <r>
          <rPr>
            <sz val="9"/>
            <color indexed="81"/>
            <rFont val="ＭＳ Ｐゴシック"/>
            <family val="3"/>
            <charset val="128"/>
          </rPr>
          <t xml:space="preserve">
</t>
        </r>
        <r>
          <rPr>
            <sz val="9"/>
            <color indexed="81"/>
            <rFont val="ＭＳ Ｐゴシック"/>
            <family val="3"/>
            <charset val="128"/>
          </rPr>
          <t>　</t>
        </r>
        <r>
          <rPr>
            <b/>
            <sz val="11"/>
            <color indexed="14"/>
            <rFont val="ＭＳ Ｐゴシック"/>
            <family val="3"/>
            <charset val="128"/>
          </rPr>
          <t>（ご注意）</t>
        </r>
        <r>
          <rPr>
            <b/>
            <sz val="11"/>
            <color indexed="12"/>
            <rFont val="ＭＳ Ｐゴシック"/>
            <family val="3"/>
            <charset val="128"/>
          </rPr>
          <t xml:space="preserve">電源電圧とは､変圧器
　           ２次側定格電圧です。
　　　　５０Ｈｚ → </t>
        </r>
        <r>
          <rPr>
            <b/>
            <sz val="11"/>
            <color indexed="10"/>
            <rFont val="ＭＳ Ｐゴシック"/>
            <family val="3"/>
            <charset val="128"/>
          </rPr>
          <t>２１０</t>
        </r>
        <r>
          <rPr>
            <b/>
            <sz val="11"/>
            <color indexed="12"/>
            <rFont val="ＭＳ Ｐゴシック"/>
            <family val="3"/>
            <charset val="128"/>
          </rPr>
          <t xml:space="preserve"> [V]
　　　　６０Ｈｚ → </t>
        </r>
        <r>
          <rPr>
            <b/>
            <sz val="11"/>
            <color indexed="10"/>
            <rFont val="ＭＳ Ｐゴシック"/>
            <family val="3"/>
            <charset val="128"/>
          </rPr>
          <t>２２０</t>
        </r>
        <r>
          <rPr>
            <b/>
            <sz val="11"/>
            <color indexed="12"/>
            <rFont val="ＭＳ Ｐゴシック"/>
            <family val="3"/>
            <charset val="128"/>
          </rPr>
          <t xml:space="preserve"> [V]</t>
        </r>
      </text>
    </comment>
    <comment ref="AJ9" authorId="0">
      <text>
        <r>
          <rPr>
            <sz val="18"/>
            <color indexed="81"/>
            <rFont val="ＭＳ Ｐゴシック"/>
            <family val="3"/>
            <charset val="128"/>
          </rPr>
          <t xml:space="preserve">  </t>
        </r>
        <r>
          <rPr>
            <b/>
            <sz val="12"/>
            <color indexed="10"/>
            <rFont val="ＭＳ Ｐゴシック"/>
            <family val="3"/>
            <charset val="128"/>
          </rPr>
          <t>↓</t>
        </r>
        <r>
          <rPr>
            <b/>
            <sz val="11"/>
            <color indexed="10"/>
            <rFont val="ＭＳ Ｐゴシック"/>
            <family val="3"/>
            <charset val="128"/>
          </rPr>
          <t>ドロップダウン・リストから選んで下さい。</t>
        </r>
        <r>
          <rPr>
            <sz val="9"/>
            <color indexed="81"/>
            <rFont val="ＭＳ Ｐゴシック"/>
            <family val="3"/>
            <charset val="128"/>
          </rPr>
          <t xml:space="preserve">
</t>
        </r>
        <r>
          <rPr>
            <sz val="14"/>
            <color indexed="81"/>
            <rFont val="ＭＳ Ｐゴシック"/>
            <family val="3"/>
            <charset val="128"/>
          </rPr>
          <t xml:space="preserve"> </t>
        </r>
        <r>
          <rPr>
            <b/>
            <sz val="10"/>
            <color indexed="81"/>
            <rFont val="ＭＳ Ｐゴシック"/>
            <family val="3"/>
            <charset val="128"/>
          </rPr>
          <t xml:space="preserve"> </t>
        </r>
        <r>
          <rPr>
            <b/>
            <sz val="10"/>
            <color indexed="12"/>
            <rFont val="ＭＳ Ｐゴシック"/>
            <family val="3"/>
            <charset val="128"/>
          </rPr>
          <t>ＭＣＣＢ のフレ－ム／トリップ値の選定について</t>
        </r>
        <r>
          <rPr>
            <b/>
            <sz val="10"/>
            <color indexed="81"/>
            <rFont val="ＭＳ Ｐゴシック"/>
            <family val="3"/>
            <charset val="128"/>
          </rPr>
          <t xml:space="preserve">
　　　</t>
        </r>
        <r>
          <rPr>
            <b/>
            <sz val="11"/>
            <color indexed="81"/>
            <rFont val="ＭＳ Ｐゴシック"/>
            <family val="3"/>
            <charset val="128"/>
          </rPr>
          <t>１） 遮断容量の確認
　　　２） ＭＣＣＢの特性と温度条件
　　　３） 始動時、定常時、需要率、負荷率､
          不等率､電圧変動率、不平衡率等
　　　  　 を考慮した実負荷電流の把握</t>
        </r>
        <r>
          <rPr>
            <sz val="11"/>
            <color indexed="81"/>
            <rFont val="ＭＳ Ｐゴシック"/>
            <family val="3"/>
            <charset val="128"/>
          </rPr>
          <t xml:space="preserve">
</t>
        </r>
        <r>
          <rPr>
            <sz val="9"/>
            <color indexed="81"/>
            <rFont val="ＭＳ Ｐゴシック"/>
            <family val="3"/>
            <charset val="128"/>
          </rPr>
          <t xml:space="preserve">
　　</t>
        </r>
        <r>
          <rPr>
            <b/>
            <sz val="11"/>
            <color indexed="12"/>
            <rFont val="ＭＳ Ｐゴシック"/>
            <family val="3"/>
            <charset val="128"/>
          </rPr>
          <t>ＭＣＣＢ</t>
        </r>
        <r>
          <rPr>
            <sz val="9"/>
            <color indexed="14"/>
            <rFont val="ＭＳ Ｐゴシック"/>
            <family val="3"/>
            <charset val="128"/>
          </rPr>
          <t>（Ｍｏｌｄｅｄ ｃａｓｅ ｃｉｒｃｕｉｔ ｂｒｅａｋｅｒ）</t>
        </r>
        <r>
          <rPr>
            <sz val="9"/>
            <color indexed="81"/>
            <rFont val="ＭＳ Ｐゴシック"/>
            <family val="3"/>
            <charset val="128"/>
          </rPr>
          <t xml:space="preserve">
　　</t>
        </r>
        <r>
          <rPr>
            <b/>
            <sz val="11"/>
            <color indexed="12"/>
            <rFont val="ＭＳ Ｐゴシック"/>
            <family val="3"/>
            <charset val="128"/>
          </rPr>
          <t>のフレ－ム値</t>
        </r>
        <r>
          <rPr>
            <sz val="10"/>
            <color indexed="81"/>
            <rFont val="ＭＳ Ｐゴシック"/>
            <family val="3"/>
            <charset val="128"/>
          </rPr>
          <t>［Ａ］</t>
        </r>
        <r>
          <rPr>
            <sz val="9"/>
            <color indexed="81"/>
            <rFont val="ＭＳ Ｐゴシック"/>
            <family val="3"/>
            <charset val="128"/>
          </rPr>
          <t xml:space="preserve">
 　　 </t>
        </r>
        <r>
          <rPr>
            <sz val="11"/>
            <color indexed="81"/>
            <rFont val="ＭＳ Ｐゴシック"/>
            <family val="3"/>
            <charset val="128"/>
          </rPr>
          <t>　</t>
        </r>
        <r>
          <rPr>
            <b/>
            <sz val="11"/>
            <color indexed="81"/>
            <rFont val="ＭＳ Ｐゴシック"/>
            <family val="3"/>
            <charset val="128"/>
          </rPr>
          <t xml:space="preserve">３０，　　５０，　　６０，　１００，　２２５，
　  ２５０，　４００，　６００，　８００，１０００，
  １２００，１６００，２０００，２５００，３０００，
  ３２００，４０００
　 </t>
        </r>
        <r>
          <rPr>
            <b/>
            <sz val="11"/>
            <color indexed="12"/>
            <rFont val="ＭＳ Ｐゴシック"/>
            <family val="3"/>
            <charset val="128"/>
          </rPr>
          <t>ＡＣＢ</t>
        </r>
        <r>
          <rPr>
            <sz val="9"/>
            <color indexed="14"/>
            <rFont val="ＭＳ Ｐゴシック"/>
            <family val="3"/>
            <charset val="128"/>
          </rPr>
          <t>（Ａｉｒ ｃｉｒｃｕｉｔ ｂｒｅａｋｅｒ）</t>
        </r>
        <r>
          <rPr>
            <b/>
            <sz val="11"/>
            <color indexed="12"/>
            <rFont val="ＭＳ Ｐゴシック"/>
            <family val="3"/>
            <charset val="128"/>
          </rPr>
          <t>のフレ－ム値</t>
        </r>
        <r>
          <rPr>
            <sz val="10"/>
            <color indexed="81"/>
            <rFont val="ＭＳ Ｐゴシック"/>
            <family val="3"/>
            <charset val="128"/>
          </rPr>
          <t>［Ａ］</t>
        </r>
        <r>
          <rPr>
            <b/>
            <sz val="11"/>
            <color indexed="81"/>
            <rFont val="ＭＳ Ｐゴシック"/>
            <family val="3"/>
            <charset val="128"/>
          </rPr>
          <t xml:space="preserve">
 　　６３０，１０００，１２５０，１６００，２０００，
　 ２５００，３２００，４０００，５０００，６３００</t>
        </r>
      </text>
    </comment>
    <comment ref="N10" authorId="0">
      <text>
        <r>
          <rPr>
            <sz val="16"/>
            <color indexed="8"/>
            <rFont val="ＭＳ Ｐゴシック"/>
            <family val="3"/>
            <charset val="128"/>
          </rPr>
          <t xml:space="preserve">  </t>
        </r>
        <r>
          <rPr>
            <b/>
            <sz val="11"/>
            <color indexed="8"/>
            <rFont val="ＭＳ Ｐゴシック"/>
            <family val="3"/>
            <charset val="128"/>
          </rPr>
          <t>……</t>
        </r>
        <r>
          <rPr>
            <b/>
            <sz val="11"/>
            <color indexed="10"/>
            <rFont val="ＭＳ Ｐゴシック"/>
            <family val="3"/>
            <charset val="128"/>
          </rPr>
          <t>配電側進相コンデンサ</t>
        </r>
        <r>
          <rPr>
            <b/>
            <sz val="11"/>
            <color indexed="8"/>
            <rFont val="ＭＳ Ｐゴシック"/>
            <family val="3"/>
            <charset val="128"/>
          </rPr>
          <t>……
　　 　</t>
        </r>
        <r>
          <rPr>
            <sz val="10"/>
            <color indexed="14"/>
            <rFont val="ＭＳ Ｐゴシック"/>
            <family val="3"/>
            <charset val="128"/>
          </rPr>
          <t>［Ｓｅｒｉｅｓ Ｐｏｗｅｒ Ｃａｐａｃｉｔｏｒ］</t>
        </r>
        <r>
          <rPr>
            <b/>
            <sz val="11"/>
            <color indexed="8"/>
            <rFont val="ＭＳ Ｐゴシック"/>
            <family val="3"/>
            <charset val="128"/>
          </rPr>
          <t xml:space="preserve">
</t>
        </r>
        <r>
          <rPr>
            <sz val="18"/>
            <color indexed="8"/>
            <rFont val="ＭＳ ゴシック"/>
            <family val="3"/>
            <charset val="128"/>
          </rPr>
          <t xml:space="preserve"> </t>
        </r>
        <r>
          <rPr>
            <sz val="9"/>
            <color indexed="12"/>
            <rFont val="ＭＳ ゴシック"/>
            <family val="3"/>
            <charset val="128"/>
          </rPr>
          <t>全負荷平均力率が悪い（遅れ力率）場合には、
　力率を改善して、配電側の電力変圧器を効率
　よく運転する目的で設置します。</t>
        </r>
        <r>
          <rPr>
            <b/>
            <sz val="11"/>
            <color indexed="8"/>
            <rFont val="ＭＳ Ｐゴシック"/>
            <family val="3"/>
            <charset val="128"/>
          </rPr>
          <t xml:space="preserve">
　　　　　</t>
        </r>
      </text>
    </comment>
    <comment ref="O10" authorId="0">
      <text>
        <r>
          <rPr>
            <b/>
            <sz val="16"/>
            <color indexed="10"/>
            <rFont val="ＭＳ Ｐゴシック"/>
            <family val="3"/>
            <charset val="128"/>
          </rPr>
          <t xml:space="preserve"> </t>
        </r>
        <r>
          <rPr>
            <b/>
            <sz val="11"/>
            <color indexed="10"/>
            <rFont val="ＭＳ Ｐゴシック"/>
            <family val="3"/>
            <charset val="128"/>
          </rPr>
          <t>累積計算</t>
        </r>
        <r>
          <rPr>
            <b/>
            <sz val="11"/>
            <color indexed="81"/>
            <rFont val="ＭＳ Ｐゴシック"/>
            <family val="3"/>
            <charset val="128"/>
          </rPr>
          <t>を行う場合下記の点に
  注意して下さい。</t>
        </r>
        <r>
          <rPr>
            <sz val="9"/>
            <color indexed="81"/>
            <rFont val="ＭＳ Ｐゴシック"/>
            <family val="3"/>
            <charset val="128"/>
          </rPr>
          <t xml:space="preserve">
</t>
        </r>
        <r>
          <rPr>
            <sz val="9"/>
            <color indexed="12"/>
            <rFont val="ＭＳ Ｐゴシック"/>
            <family val="3"/>
            <charset val="128"/>
          </rPr>
          <t xml:space="preserve">
</t>
        </r>
        <r>
          <rPr>
            <sz val="10"/>
            <color indexed="12"/>
            <rFont val="ＭＳ Ｐゴシック"/>
            <family val="3"/>
            <charset val="128"/>
          </rPr>
          <t xml:space="preserve"> 　幹線分岐等で、各区間の電圧降下値を
　 集計するときには、"セル"の</t>
        </r>
        <r>
          <rPr>
            <sz val="10"/>
            <color indexed="14"/>
            <rFont val="ＭＳ Ｐゴシック"/>
            <family val="3"/>
            <charset val="128"/>
          </rPr>
          <t>各４行</t>
        </r>
        <r>
          <rPr>
            <sz val="10"/>
            <color indexed="12"/>
            <rFont val="ＭＳ Ｐゴシック"/>
            <family val="3"/>
            <charset val="128"/>
          </rPr>
          <t>を</t>
        </r>
        <r>
          <rPr>
            <sz val="10"/>
            <color indexed="14"/>
            <rFont val="ＭＳ Ｐゴシック"/>
            <family val="3"/>
            <charset val="128"/>
          </rPr>
          <t>連続</t>
        </r>
        <r>
          <rPr>
            <sz val="10"/>
            <color indexed="12"/>
            <rFont val="ＭＳ Ｐゴシック"/>
            <family val="3"/>
            <charset val="128"/>
          </rPr>
          <t xml:space="preserve">
    して使用して下さい。
 　単独計算または、次の別計算に移るとき
　 は､必ず </t>
        </r>
        <r>
          <rPr>
            <sz val="10"/>
            <color indexed="14"/>
            <rFont val="ＭＳ Ｐゴシック"/>
            <family val="3"/>
            <charset val="128"/>
          </rPr>
          <t>４行以上</t>
        </r>
        <r>
          <rPr>
            <sz val="10"/>
            <color indexed="12"/>
            <rFont val="ＭＳ Ｐゴシック"/>
            <family val="3"/>
            <charset val="128"/>
          </rPr>
          <t xml:space="preserve"> 空けて入力して下さい。</t>
        </r>
      </text>
    </comment>
    <comment ref="W10" authorId="0">
      <text>
        <r>
          <rPr>
            <sz val="16"/>
            <color indexed="8"/>
            <rFont val="ＭＳ Ｐゴシック"/>
            <family val="3"/>
            <charset val="128"/>
          </rPr>
          <t xml:space="preserve">    </t>
        </r>
        <r>
          <rPr>
            <b/>
            <sz val="11"/>
            <color indexed="8"/>
            <rFont val="ＭＳ Ｐゴシック"/>
            <family val="3"/>
            <charset val="128"/>
          </rPr>
          <t>……</t>
        </r>
        <r>
          <rPr>
            <b/>
            <sz val="11"/>
            <color indexed="10"/>
            <rFont val="ＭＳ Ｐゴシック"/>
            <family val="3"/>
            <charset val="128"/>
          </rPr>
          <t>負荷側進相コンデンサ</t>
        </r>
        <r>
          <rPr>
            <b/>
            <sz val="11"/>
            <color indexed="8"/>
            <rFont val="ＭＳ Ｐゴシック"/>
            <family val="3"/>
            <charset val="128"/>
          </rPr>
          <t>……</t>
        </r>
        <r>
          <rPr>
            <sz val="9"/>
            <color indexed="81"/>
            <rFont val="ＭＳ Ｐゴシック"/>
            <family val="3"/>
            <charset val="128"/>
          </rPr>
          <t xml:space="preserve">
　　 　　　　</t>
        </r>
        <r>
          <rPr>
            <sz val="10"/>
            <color indexed="14"/>
            <rFont val="ＭＳ Ｐゴシック"/>
            <family val="3"/>
            <charset val="128"/>
          </rPr>
          <t>［Ｓｅｒｉｅｓ Ｐｏｗｅｒ Ｃａｐａｃｉｔｏｒ］</t>
        </r>
        <r>
          <rPr>
            <sz val="9"/>
            <color indexed="81"/>
            <rFont val="ＭＳ Ｐゴシック"/>
            <family val="3"/>
            <charset val="128"/>
          </rPr>
          <t xml:space="preserve">
</t>
        </r>
        <r>
          <rPr>
            <sz val="16"/>
            <color indexed="81"/>
            <rFont val="ＭＳ ゴシック"/>
            <family val="3"/>
            <charset val="128"/>
          </rPr>
          <t xml:space="preserve"> </t>
        </r>
        <r>
          <rPr>
            <sz val="10"/>
            <color indexed="12"/>
            <rFont val="ＭＳ ゴシック"/>
            <family val="3"/>
            <charset val="128"/>
          </rPr>
          <t>誘導負荷の遅れ力率を改善して､幹線の電圧
　降下を低減し､分電盤一次電圧の低下を防止
　する目的で設置します。</t>
        </r>
      </text>
    </comment>
    <comment ref="AA10" authorId="0">
      <text>
        <r>
          <rPr>
            <sz val="14"/>
            <color indexed="81"/>
            <rFont val="ＭＳ Ｐゴシック"/>
            <family val="3"/>
            <charset val="128"/>
          </rPr>
          <t xml:space="preserve">  </t>
        </r>
        <r>
          <rPr>
            <b/>
            <sz val="11"/>
            <color indexed="81"/>
            <rFont val="ＭＳ Ｐゴシック"/>
            <family val="3"/>
            <charset val="128"/>
          </rPr>
          <t>ドロップダウンリスト
　から選んで下さい。</t>
        </r>
      </text>
    </comment>
    <comment ref="AE10" authorId="0">
      <text>
        <r>
          <rPr>
            <sz val="14"/>
            <color indexed="81"/>
            <rFont val="ＭＳ Ｐゴシック"/>
            <family val="3"/>
            <charset val="128"/>
          </rPr>
          <t xml:space="preserve">  </t>
        </r>
        <r>
          <rPr>
            <b/>
            <sz val="11"/>
            <color indexed="81"/>
            <rFont val="ＭＳ Ｐゴシック"/>
            <family val="3"/>
            <charset val="128"/>
          </rPr>
          <t>ドロップダウンリスト
　から選んで下さい。</t>
        </r>
      </text>
    </comment>
    <comment ref="AF10" authorId="1">
      <text>
        <r>
          <rPr>
            <b/>
            <sz val="16"/>
            <color indexed="12"/>
            <rFont val="ＭＳ ゴシック"/>
            <family val="3"/>
            <charset val="128"/>
          </rPr>
          <t xml:space="preserve"> </t>
        </r>
        <r>
          <rPr>
            <b/>
            <sz val="12"/>
            <color indexed="12"/>
            <rFont val="ＭＳ Ｐゴシック"/>
            <family val="3"/>
            <charset val="128"/>
          </rPr>
          <t>変圧器２次側
  電圧</t>
        </r>
        <r>
          <rPr>
            <b/>
            <sz val="10"/>
            <color indexed="12"/>
            <rFont val="ＭＳ Ｐゴシック"/>
            <family val="3"/>
            <charset val="128"/>
          </rPr>
          <t>［Ｖ］</t>
        </r>
      </text>
    </comment>
    <comment ref="L11" authorId="0">
      <text>
        <r>
          <rPr>
            <sz val="14"/>
            <color indexed="81"/>
            <rFont val="ＭＳ Ｐゴシック"/>
            <family val="3"/>
            <charset val="128"/>
          </rPr>
          <t xml:space="preserve"> </t>
        </r>
        <r>
          <rPr>
            <b/>
            <sz val="14"/>
            <color indexed="10"/>
            <rFont val="ＭＳ Ｐゴシック"/>
            <family val="3"/>
            <charset val="128"/>
          </rPr>
          <t>↓</t>
        </r>
        <r>
          <rPr>
            <b/>
            <sz val="11"/>
            <color indexed="81"/>
            <rFont val="ＭＳ Ｐゴシック"/>
            <family val="3"/>
            <charset val="128"/>
          </rPr>
          <t>ドロップダウンリストから
　　選んで下さい。</t>
        </r>
        <r>
          <rPr>
            <b/>
            <sz val="9"/>
            <color indexed="81"/>
            <rFont val="ＭＳ Ｐゴシック"/>
            <family val="3"/>
            <charset val="128"/>
          </rPr>
          <t xml:space="preserve">
 </t>
        </r>
        <r>
          <rPr>
            <sz val="14"/>
            <color indexed="81"/>
            <rFont val="ＭＳ Ｐゴシック"/>
            <family val="3"/>
            <charset val="128"/>
          </rPr>
          <t xml:space="preserve"> </t>
        </r>
        <r>
          <rPr>
            <sz val="10"/>
            <color indexed="12"/>
            <rFont val="ＭＳ Ｐゴシック"/>
            <family val="3"/>
            <charset val="128"/>
          </rPr>
          <t>リストにない場合（油入自冷，モ－
　ルド絶縁以外）は、ＤＡＴＡ Ｔａｂｌｅの
　</t>
        </r>
        <r>
          <rPr>
            <sz val="10"/>
            <color indexed="10"/>
            <rFont val="ＭＳ Ｐゴシック"/>
            <family val="3"/>
            <charset val="128"/>
          </rPr>
          <t>「変圧器ＵＳＥＲ」</t>
        </r>
        <r>
          <rPr>
            <sz val="10"/>
            <color indexed="12"/>
            <rFont val="ＭＳ Ｐゴシック"/>
            <family val="3"/>
            <charset val="128"/>
          </rPr>
          <t>にデ－タを入力し
　てから実行して下さい。</t>
        </r>
      </text>
    </comment>
    <comment ref="M11" authorId="0">
      <text>
        <r>
          <rPr>
            <sz val="16"/>
            <color indexed="81"/>
            <rFont val="ＭＳ Ｐゴシック"/>
            <family val="3"/>
            <charset val="128"/>
          </rPr>
          <t xml:space="preserve">  </t>
        </r>
        <r>
          <rPr>
            <sz val="9"/>
            <color indexed="81"/>
            <rFont val="ＭＳ Ｐゴシック"/>
            <family val="3"/>
            <charset val="128"/>
          </rPr>
          <t xml:space="preserve">… … </t>
        </r>
        <r>
          <rPr>
            <b/>
            <sz val="12"/>
            <color indexed="10"/>
            <rFont val="ＭＳ Ｐゴシック"/>
            <family val="3"/>
            <charset val="128"/>
          </rPr>
          <t xml:space="preserve">ご注意 </t>
        </r>
        <r>
          <rPr>
            <sz val="9"/>
            <color indexed="81"/>
            <rFont val="ＭＳ Ｐゴシック"/>
            <family val="3"/>
            <charset val="128"/>
          </rPr>
          <t>… …
　 並列運転の場合には、
　 並列</t>
        </r>
        <r>
          <rPr>
            <sz val="9"/>
            <color indexed="12"/>
            <rFont val="ＭＳ Ｐゴシック"/>
            <family val="3"/>
            <charset val="128"/>
          </rPr>
          <t>変圧器の台数</t>
        </r>
        <r>
          <rPr>
            <sz val="9"/>
            <color indexed="81"/>
            <rFont val="ＭＳ Ｐゴシック"/>
            <family val="3"/>
            <charset val="128"/>
          </rPr>
          <t>を
　 入力して下さい。</t>
        </r>
      </text>
    </comment>
    <comment ref="O11" authorId="0">
      <text>
        <r>
          <rPr>
            <sz val="14"/>
            <color indexed="81"/>
            <rFont val="ＭＳ Ｐゴシック"/>
            <family val="3"/>
            <charset val="128"/>
          </rPr>
          <t xml:space="preserve">  </t>
        </r>
        <r>
          <rPr>
            <b/>
            <sz val="11"/>
            <color indexed="81"/>
            <rFont val="ＭＳ Ｐゴシック"/>
            <family val="3"/>
            <charset val="128"/>
          </rPr>
          <t>ドロップダウンリスト
　から選んで下さい。</t>
        </r>
      </text>
    </comment>
    <comment ref="Q11" authorId="0">
      <text>
        <r>
          <rPr>
            <sz val="16"/>
            <color indexed="10"/>
            <rFont val="ＭＳ Ｐゴシック"/>
            <family val="3"/>
            <charset val="128"/>
          </rPr>
          <t xml:space="preserve">   </t>
        </r>
        <r>
          <rPr>
            <b/>
            <sz val="11"/>
            <color indexed="81"/>
            <rFont val="ＭＳ Ｐゴシック"/>
            <family val="3"/>
            <charset val="128"/>
          </rPr>
          <t>……</t>
        </r>
        <r>
          <rPr>
            <b/>
            <sz val="11"/>
            <color indexed="10"/>
            <rFont val="ＭＳ Ｐゴシック"/>
            <family val="3"/>
            <charset val="128"/>
          </rPr>
          <t>ご注意</t>
        </r>
        <r>
          <rPr>
            <b/>
            <sz val="11"/>
            <color indexed="81"/>
            <rFont val="ＭＳ Ｐゴシック"/>
            <family val="3"/>
            <charset val="128"/>
          </rPr>
          <t>……</t>
        </r>
        <r>
          <rPr>
            <sz val="9"/>
            <color indexed="81"/>
            <rFont val="ＭＳ Ｐゴシック"/>
            <family val="3"/>
            <charset val="128"/>
          </rPr>
          <t xml:space="preserve">
　 </t>
        </r>
        <r>
          <rPr>
            <b/>
            <sz val="10"/>
            <color indexed="12"/>
            <rFont val="ＭＳ Ｐゴシック"/>
            <family val="3"/>
            <charset val="128"/>
          </rPr>
          <t>電動機回路</t>
        </r>
        <r>
          <rPr>
            <sz val="10"/>
            <color indexed="81"/>
            <rFont val="ＭＳ Ｐゴシック"/>
            <family val="3"/>
            <charset val="128"/>
          </rPr>
          <t xml:space="preserve">の場合、
　 </t>
        </r>
        <r>
          <rPr>
            <b/>
            <sz val="10"/>
            <color indexed="10"/>
            <rFont val="ＭＳ Ｐゴシック"/>
            <family val="3"/>
            <charset val="128"/>
          </rPr>
          <t>０＜～１．０００</t>
        </r>
        <r>
          <rPr>
            <sz val="10"/>
            <color indexed="10"/>
            <rFont val="ＭＳ Ｐゴシック"/>
            <family val="3"/>
            <charset val="128"/>
          </rPr>
          <t xml:space="preserve"> </t>
        </r>
        <r>
          <rPr>
            <sz val="10"/>
            <color indexed="81"/>
            <rFont val="ＭＳ Ｐゴシック"/>
            <family val="3"/>
            <charset val="128"/>
          </rPr>
          <t xml:space="preserve">の範囲で
　 入力して下さい。
</t>
        </r>
        <r>
          <rPr>
            <sz val="14"/>
            <color indexed="81"/>
            <rFont val="ＭＳ Ｐゴシック"/>
            <family val="3"/>
            <charset val="128"/>
          </rPr>
          <t>　</t>
        </r>
        <r>
          <rPr>
            <sz val="10"/>
            <color indexed="14"/>
            <rFont val="ＭＳ Ｐゴシック"/>
            <family val="3"/>
            <charset val="128"/>
          </rPr>
          <t>その他の負荷の場合は、
　 ”</t>
        </r>
        <r>
          <rPr>
            <b/>
            <sz val="10"/>
            <color indexed="10"/>
            <rFont val="ＭＳ Ｐゴシック"/>
            <family val="3"/>
            <charset val="128"/>
          </rPr>
          <t>１</t>
        </r>
        <r>
          <rPr>
            <sz val="10"/>
            <color indexed="14"/>
            <rFont val="ＭＳ Ｐゴシック"/>
            <family val="3"/>
            <charset val="128"/>
          </rPr>
          <t>” を入力して下さい。</t>
        </r>
      </text>
    </comment>
    <comment ref="S11" authorId="0">
      <text>
        <r>
          <rPr>
            <sz val="16"/>
            <color indexed="10"/>
            <rFont val="ＭＳ Ｐゴシック"/>
            <family val="3"/>
            <charset val="128"/>
          </rPr>
          <t xml:space="preserve">  </t>
        </r>
        <r>
          <rPr>
            <b/>
            <sz val="12"/>
            <color indexed="10"/>
            <rFont val="ＭＳ Ｐゴシック"/>
            <family val="3"/>
            <charset val="128"/>
          </rPr>
          <t>入力ＫＶＡ</t>
        </r>
        <r>
          <rPr>
            <sz val="9"/>
            <color indexed="81"/>
            <rFont val="ＭＳ Ｐゴシック"/>
            <family val="3"/>
            <charset val="128"/>
          </rPr>
          <t xml:space="preserve">
　</t>
        </r>
        <r>
          <rPr>
            <sz val="10"/>
            <color indexed="81"/>
            <rFont val="ＭＳ Ｐゴシック"/>
            <family val="3"/>
            <charset val="128"/>
          </rPr>
          <t>入力</t>
        </r>
        <r>
          <rPr>
            <b/>
            <sz val="9"/>
            <color indexed="81"/>
            <rFont val="ＭＳ Ｐゴシック"/>
            <family val="3"/>
            <charset val="128"/>
          </rPr>
          <t>ＫＶＡ</t>
        </r>
        <r>
          <rPr>
            <sz val="10"/>
            <color indexed="81"/>
            <rFont val="ＭＳ Ｐゴシック"/>
            <family val="3"/>
            <charset val="128"/>
          </rPr>
          <t>＝出力</t>
        </r>
        <r>
          <rPr>
            <b/>
            <sz val="9"/>
            <color indexed="81"/>
            <rFont val="ＭＳ Ｐゴシック"/>
            <family val="3"/>
            <charset val="128"/>
          </rPr>
          <t>ＫＷ</t>
        </r>
        <r>
          <rPr>
            <sz val="10"/>
            <color indexed="81"/>
            <rFont val="ＭＳ Ｐゴシック"/>
            <family val="3"/>
            <charset val="128"/>
          </rPr>
          <t>／（</t>
        </r>
        <r>
          <rPr>
            <b/>
            <sz val="9"/>
            <color indexed="81"/>
            <rFont val="ＭＳ Ｐゴシック"/>
            <family val="3"/>
            <charset val="128"/>
          </rPr>
          <t>ｃｏｓφ</t>
        </r>
        <r>
          <rPr>
            <sz val="10"/>
            <color indexed="81"/>
            <rFont val="ＭＳ Ｐゴシック"/>
            <family val="3"/>
            <charset val="128"/>
          </rPr>
          <t>ｘ</t>
        </r>
        <r>
          <rPr>
            <b/>
            <sz val="10"/>
            <color indexed="81"/>
            <rFont val="ＭＳ Ｐゴシック"/>
            <family val="3"/>
            <charset val="128"/>
          </rPr>
          <t>η</t>
        </r>
        <r>
          <rPr>
            <sz val="10"/>
            <color indexed="81"/>
            <rFont val="ＭＳ Ｐゴシック"/>
            <family val="3"/>
            <charset val="128"/>
          </rPr>
          <t xml:space="preserve">）
</t>
        </r>
        <r>
          <rPr>
            <sz val="14"/>
            <color indexed="81"/>
            <rFont val="ＭＳ Ｐゴシック"/>
            <family val="3"/>
            <charset val="128"/>
          </rPr>
          <t xml:space="preserve">　   </t>
        </r>
        <r>
          <rPr>
            <b/>
            <sz val="10"/>
            <color indexed="12"/>
            <rFont val="ＭＳ Ｐゴシック"/>
            <family val="3"/>
            <charset val="128"/>
          </rPr>
          <t>cos</t>
        </r>
        <r>
          <rPr>
            <b/>
            <sz val="9"/>
            <color indexed="12"/>
            <rFont val="ＭＳ Ｐゴシック"/>
            <family val="3"/>
            <charset val="128"/>
          </rPr>
          <t xml:space="preserve">φ </t>
        </r>
        <r>
          <rPr>
            <sz val="10"/>
            <color indexed="12"/>
            <rFont val="ＭＳ Ｐゴシック"/>
            <family val="3"/>
            <charset val="128"/>
          </rPr>
          <t>：負荷の力率
　</t>
        </r>
        <r>
          <rPr>
            <sz val="8"/>
            <color indexed="12"/>
            <rFont val="ＭＳ Ｐゴシック"/>
            <family val="3"/>
            <charset val="128"/>
          </rPr>
          <t>　</t>
        </r>
        <r>
          <rPr>
            <sz val="10"/>
            <color indexed="12"/>
            <rFont val="ＭＳ Ｐゴシック"/>
            <family val="3"/>
            <charset val="128"/>
          </rPr>
          <t xml:space="preserve">       </t>
        </r>
        <r>
          <rPr>
            <b/>
            <sz val="10"/>
            <color indexed="12"/>
            <rFont val="ＭＳ Ｐゴシック"/>
            <family val="3"/>
            <charset val="128"/>
          </rPr>
          <t xml:space="preserve">η   </t>
        </r>
        <r>
          <rPr>
            <sz val="10"/>
            <color indexed="12"/>
            <rFont val="ＭＳ Ｐゴシック"/>
            <family val="3"/>
            <charset val="128"/>
          </rPr>
          <t>：負荷の効率</t>
        </r>
      </text>
    </comment>
    <comment ref="T11" authorId="0">
      <text>
        <r>
          <rPr>
            <sz val="16"/>
            <color indexed="81"/>
            <rFont val="ＭＳ Ｐゴシック"/>
            <family val="3"/>
            <charset val="128"/>
          </rPr>
          <t xml:space="preserve"> </t>
        </r>
        <r>
          <rPr>
            <b/>
            <sz val="1"/>
            <color indexed="81"/>
            <rFont val="ＭＳ Ｐゴシック"/>
            <family val="3"/>
            <charset val="128"/>
          </rPr>
          <t xml:space="preserve"> </t>
        </r>
        <r>
          <rPr>
            <b/>
            <sz val="11"/>
            <color indexed="81"/>
            <rFont val="ＭＳ Ｐゴシック"/>
            <family val="3"/>
            <charset val="128"/>
          </rPr>
          <t>……需要率 Ｄｆ ……</t>
        </r>
        <r>
          <rPr>
            <sz val="9"/>
            <color indexed="81"/>
            <rFont val="ＭＳ Ｐゴシック"/>
            <family val="3"/>
            <charset val="128"/>
          </rPr>
          <t xml:space="preserve">　
      </t>
        </r>
        <r>
          <rPr>
            <sz val="9"/>
            <color indexed="14"/>
            <rFont val="ＭＳ Ｐゴシック"/>
            <family val="3"/>
            <charset val="128"/>
          </rPr>
          <t>（Ｄｅｍａｎｄ　Ｆａｃｔｏｒ）</t>
        </r>
        <r>
          <rPr>
            <b/>
            <sz val="11"/>
            <color indexed="81"/>
            <rFont val="ＭＳ Ｐゴシック"/>
            <family val="3"/>
            <charset val="128"/>
          </rPr>
          <t xml:space="preserve">
  </t>
        </r>
        <r>
          <rPr>
            <b/>
            <sz val="11"/>
            <color indexed="10"/>
            <rFont val="ＭＳ Ｐゴシック"/>
            <family val="3"/>
            <charset val="128"/>
          </rPr>
          <t xml:space="preserve">０．０００１ ～ １．００ </t>
        </r>
        <r>
          <rPr>
            <b/>
            <sz val="11"/>
            <color indexed="81"/>
            <rFont val="ＭＳ Ｐゴシック"/>
            <family val="3"/>
            <charset val="128"/>
          </rPr>
          <t xml:space="preserve">
  範囲内の数値を入力
　 して下さい。</t>
        </r>
      </text>
    </comment>
    <comment ref="X11" authorId="0">
      <text>
        <r>
          <rPr>
            <sz val="16"/>
            <color indexed="10"/>
            <rFont val="ＭＳ Ｐゴシック"/>
            <family val="3"/>
            <charset val="128"/>
          </rPr>
          <t xml:space="preserve">  </t>
        </r>
        <r>
          <rPr>
            <b/>
            <sz val="11"/>
            <color indexed="10"/>
            <rFont val="ＭＳ Ｐゴシック"/>
            <family val="3"/>
            <charset val="128"/>
          </rPr>
          <t>ドロップダウンリストから
  選んで下さい。</t>
        </r>
        <r>
          <rPr>
            <sz val="9"/>
            <color indexed="81"/>
            <rFont val="ＭＳ Ｐゴシック"/>
            <family val="3"/>
            <charset val="128"/>
          </rPr>
          <t xml:space="preserve">
</t>
        </r>
        <r>
          <rPr>
            <b/>
            <sz val="16"/>
            <color indexed="81"/>
            <rFont val="ＭＳ Ｐゴシック"/>
            <family val="3"/>
            <charset val="128"/>
          </rPr>
          <t xml:space="preserve"> </t>
        </r>
        <r>
          <rPr>
            <sz val="9"/>
            <color indexed="14"/>
            <rFont val="ＭＳ Ｐゴシック"/>
            <family val="3"/>
            <charset val="128"/>
          </rPr>
          <t xml:space="preserve">入力方法シ－トを参照して下さい。
</t>
        </r>
        <r>
          <rPr>
            <sz val="18"/>
            <color indexed="14"/>
            <rFont val="ＭＳ Ｐゴシック"/>
            <family val="3"/>
            <charset val="128"/>
          </rPr>
          <t xml:space="preserve"> </t>
        </r>
        <r>
          <rPr>
            <sz val="9"/>
            <color indexed="12"/>
            <rFont val="ＭＳ Ｐゴシック"/>
            <family val="3"/>
            <charset val="128"/>
          </rPr>
          <t>データ・テーブルにないサイズを
  入力する場合には､そのケーブル
　の Ｒ，Ｘ（</t>
        </r>
        <r>
          <rPr>
            <sz val="9"/>
            <color indexed="10"/>
            <rFont val="ＭＳ Ｐゴシック"/>
            <family val="3"/>
            <charset val="128"/>
          </rPr>
          <t>５０Ｈｚ</t>
        </r>
        <r>
          <rPr>
            <sz val="9"/>
            <color indexed="12"/>
            <rFont val="ＭＳ Ｐゴシック"/>
            <family val="3"/>
            <charset val="128"/>
          </rPr>
          <t>） 値をデータ・テ
　ーブルに登録して下さい。</t>
        </r>
      </text>
    </comment>
    <comment ref="Z11" authorId="0">
      <text>
        <r>
          <rPr>
            <sz val="16"/>
            <color indexed="10"/>
            <rFont val="ＭＳ Ｐゴシック"/>
            <family val="3"/>
            <charset val="128"/>
          </rPr>
          <t xml:space="preserve">  </t>
        </r>
        <r>
          <rPr>
            <b/>
            <sz val="11"/>
            <color indexed="10"/>
            <rFont val="ＭＳ Ｐゴシック"/>
            <family val="3"/>
            <charset val="128"/>
          </rPr>
          <t>亘長 Ｌ</t>
        </r>
        <r>
          <rPr>
            <sz val="9"/>
            <color indexed="14"/>
            <rFont val="ＭＳ Ｐゴシック"/>
            <family val="3"/>
            <charset val="128"/>
          </rPr>
          <t>（Ｃａｂｌｅ　Ｓｐａｎ）　</t>
        </r>
        <r>
          <rPr>
            <sz val="9"/>
            <color indexed="81"/>
            <rFont val="ＭＳ Ｐゴシック"/>
            <family val="3"/>
            <charset val="128"/>
          </rPr>
          <t xml:space="preserve">
　 布設ケ－ブルの実長ｍ数
　 を入力してください。</t>
        </r>
      </text>
    </comment>
    <comment ref="AB11" authorId="0">
      <text>
        <r>
          <rPr>
            <sz val="16"/>
            <color indexed="10"/>
            <rFont val="ＭＳ Ｐゴシック"/>
            <family val="3"/>
            <charset val="128"/>
          </rPr>
          <t xml:space="preserve">  </t>
        </r>
        <r>
          <rPr>
            <b/>
            <sz val="11"/>
            <color indexed="10"/>
            <rFont val="ＭＳ Ｐゴシック"/>
            <family val="3"/>
            <charset val="128"/>
          </rPr>
          <t>ドロップダウンリストから
  選んで下さい。</t>
        </r>
        <r>
          <rPr>
            <sz val="9"/>
            <color indexed="81"/>
            <rFont val="ＭＳ Ｐゴシック"/>
            <family val="3"/>
            <charset val="128"/>
          </rPr>
          <t xml:space="preserve">
</t>
        </r>
        <r>
          <rPr>
            <b/>
            <sz val="16"/>
            <color indexed="81"/>
            <rFont val="ＭＳ Ｐゴシック"/>
            <family val="3"/>
            <charset val="128"/>
          </rPr>
          <t xml:space="preserve"> </t>
        </r>
        <r>
          <rPr>
            <sz val="9"/>
            <color indexed="14"/>
            <rFont val="ＭＳ Ｐゴシック"/>
            <family val="3"/>
            <charset val="128"/>
          </rPr>
          <t xml:space="preserve">入力方法シ－トを参照して下さい。
</t>
        </r>
        <r>
          <rPr>
            <sz val="18"/>
            <color indexed="14"/>
            <rFont val="ＭＳ Ｐゴシック"/>
            <family val="3"/>
            <charset val="128"/>
          </rPr>
          <t xml:space="preserve"> </t>
        </r>
        <r>
          <rPr>
            <sz val="9"/>
            <color indexed="12"/>
            <rFont val="ＭＳ Ｐゴシック"/>
            <family val="3"/>
            <charset val="128"/>
          </rPr>
          <t>データ・テーブルにないサイズを
  入力する場合には､そのケーブル
　の Ｒ，Ｘ（</t>
        </r>
        <r>
          <rPr>
            <sz val="9"/>
            <color indexed="10"/>
            <rFont val="ＭＳ Ｐゴシック"/>
            <family val="3"/>
            <charset val="128"/>
          </rPr>
          <t>５０Ｈｚ</t>
        </r>
        <r>
          <rPr>
            <sz val="9"/>
            <color indexed="12"/>
            <rFont val="ＭＳ Ｐゴシック"/>
            <family val="3"/>
            <charset val="128"/>
          </rPr>
          <t>） 値をデータ・テ
　ーブルに登録して下さい。</t>
        </r>
      </text>
    </comment>
    <comment ref="AD11" authorId="0">
      <text>
        <r>
          <rPr>
            <sz val="16"/>
            <color indexed="10"/>
            <rFont val="ＭＳ Ｐゴシック"/>
            <family val="3"/>
            <charset val="128"/>
          </rPr>
          <t xml:space="preserve">  </t>
        </r>
        <r>
          <rPr>
            <b/>
            <sz val="11"/>
            <color indexed="10"/>
            <rFont val="ＭＳ Ｐゴシック"/>
            <family val="3"/>
            <charset val="128"/>
          </rPr>
          <t>亘長 Ｌ</t>
        </r>
        <r>
          <rPr>
            <sz val="9"/>
            <color indexed="14"/>
            <rFont val="ＭＳ Ｐゴシック"/>
            <family val="3"/>
            <charset val="128"/>
          </rPr>
          <t>（Ｃａｂｌｅ　Ｓｐａｎ）　</t>
        </r>
        <r>
          <rPr>
            <sz val="9"/>
            <color indexed="81"/>
            <rFont val="ＭＳ Ｐゴシック"/>
            <family val="3"/>
            <charset val="128"/>
          </rPr>
          <t xml:space="preserve">
　 布設ケ－ブルの実長ｍ数
　 を入力してください。</t>
        </r>
      </text>
    </comment>
    <comment ref="AG11" authorId="0">
      <text>
        <r>
          <rPr>
            <b/>
            <sz val="18"/>
            <color indexed="12"/>
            <rFont val="ＭＳ Ｐゴシック"/>
            <family val="3"/>
            <charset val="128"/>
          </rPr>
          <t xml:space="preserve"> </t>
        </r>
        <r>
          <rPr>
            <b/>
            <sz val="12"/>
            <color indexed="12"/>
            <rFont val="ＭＳ Ｐゴシック"/>
            <family val="3"/>
            <charset val="128"/>
          </rPr>
          <t xml:space="preserve">電源電圧に
　対する </t>
        </r>
        <r>
          <rPr>
            <b/>
            <sz val="10"/>
            <color indexed="12"/>
            <rFont val="ＭＳ Ｐゴシック"/>
            <family val="3"/>
            <charset val="128"/>
          </rPr>
          <t>[％]</t>
        </r>
        <r>
          <rPr>
            <sz val="9"/>
            <color indexed="81"/>
            <rFont val="ＭＳ Ｐゴシック"/>
            <family val="3"/>
            <charset val="128"/>
          </rPr>
          <t xml:space="preserve">
</t>
        </r>
      </text>
    </comment>
    <comment ref="B12" authorId="0">
      <text>
        <r>
          <rPr>
            <sz val="16"/>
            <color indexed="8"/>
            <rFont val="ＭＳ Ｐゴシック"/>
            <family val="3"/>
            <charset val="128"/>
          </rPr>
          <t xml:space="preserve">  </t>
        </r>
        <r>
          <rPr>
            <b/>
            <sz val="11"/>
            <color indexed="10"/>
            <rFont val="ＭＳ Ｐゴシック"/>
            <family val="3"/>
            <charset val="128"/>
          </rPr>
          <t>ドロップダウン・リスト</t>
        </r>
        <r>
          <rPr>
            <b/>
            <sz val="11"/>
            <color indexed="8"/>
            <rFont val="ＭＳ Ｐゴシック"/>
            <family val="3"/>
            <charset val="128"/>
          </rPr>
          <t xml:space="preserve">
</t>
        </r>
        <r>
          <rPr>
            <sz val="10"/>
            <color indexed="8"/>
            <rFont val="ＭＳ ゴシック"/>
            <family val="3"/>
            <charset val="128"/>
          </rPr>
          <t xml:space="preserve">  </t>
        </r>
        <r>
          <rPr>
            <b/>
            <sz val="10"/>
            <color indexed="12"/>
            <rFont val="ＭＳ Ｐ明朝"/>
            <family val="1"/>
            <charset val="128"/>
          </rPr>
          <t>追加・修正・削除できます。</t>
        </r>
        <r>
          <rPr>
            <b/>
            <sz val="12"/>
            <color indexed="12"/>
            <rFont val="ＭＳ Ｐ明朝"/>
            <family val="1"/>
            <charset val="128"/>
          </rPr>
          <t xml:space="preserve"> </t>
        </r>
      </text>
    </comment>
    <comment ref="F12" authorId="0">
      <text>
        <r>
          <rPr>
            <sz val="16"/>
            <color indexed="10"/>
            <rFont val="ＭＳ Ｐゴシック"/>
            <family val="3"/>
            <charset val="128"/>
          </rPr>
          <t>　</t>
        </r>
        <r>
          <rPr>
            <b/>
            <sz val="11"/>
            <color indexed="10"/>
            <rFont val="ＭＳ Ｐゴシック"/>
            <family val="3"/>
            <charset val="128"/>
          </rPr>
          <t>周波数</t>
        </r>
        <r>
          <rPr>
            <sz val="11"/>
            <color indexed="14"/>
            <rFont val="ＭＳ Ｐゴシック"/>
            <family val="3"/>
            <charset val="128"/>
          </rPr>
          <t>［Frequency］</t>
        </r>
        <r>
          <rPr>
            <b/>
            <sz val="11"/>
            <color indexed="10"/>
            <rFont val="ＭＳ Ｐゴシック"/>
            <family val="3"/>
            <charset val="128"/>
          </rPr>
          <t>入力</t>
        </r>
        <r>
          <rPr>
            <b/>
            <sz val="11"/>
            <color indexed="81"/>
            <rFont val="ＭＳ Ｐゴシック"/>
            <family val="3"/>
            <charset val="128"/>
          </rPr>
          <t>　　　　　
  …</t>
        </r>
        <r>
          <rPr>
            <b/>
            <sz val="11"/>
            <color indexed="14"/>
            <rFont val="ＭＳ Ｐゴシック"/>
            <family val="3"/>
            <charset val="128"/>
          </rPr>
          <t>（注）</t>
        </r>
        <r>
          <rPr>
            <b/>
            <sz val="11"/>
            <color indexed="12"/>
            <rFont val="ＭＳ Ｐゴシック"/>
            <family val="3"/>
            <charset val="128"/>
          </rPr>
          <t>半角入力とする。</t>
        </r>
        <r>
          <rPr>
            <b/>
            <sz val="11"/>
            <color indexed="81"/>
            <rFont val="ＭＳ Ｐゴシック"/>
            <family val="3"/>
            <charset val="128"/>
          </rPr>
          <t xml:space="preserve">…
</t>
        </r>
        <r>
          <rPr>
            <sz val="18"/>
            <color indexed="81"/>
            <rFont val="ＭＳ Ｐゴシック"/>
            <family val="3"/>
            <charset val="128"/>
          </rPr>
          <t xml:space="preserve">   </t>
        </r>
        <r>
          <rPr>
            <b/>
            <sz val="11"/>
            <color indexed="10"/>
            <rFont val="ＭＳ Ｐゴシック"/>
            <family val="3"/>
            <charset val="128"/>
          </rPr>
          <t>５０</t>
        </r>
        <r>
          <rPr>
            <b/>
            <sz val="11"/>
            <color indexed="81"/>
            <rFont val="ＭＳ Ｐゴシック"/>
            <family val="3"/>
            <charset val="128"/>
          </rPr>
          <t xml:space="preserve"> 又は </t>
        </r>
        <r>
          <rPr>
            <b/>
            <sz val="11"/>
            <color indexed="10"/>
            <rFont val="ＭＳ Ｐゴシック"/>
            <family val="3"/>
            <charset val="128"/>
          </rPr>
          <t>６０</t>
        </r>
        <r>
          <rPr>
            <b/>
            <sz val="11"/>
            <color indexed="81"/>
            <rFont val="ＭＳ Ｐゴシック"/>
            <family val="3"/>
            <charset val="128"/>
          </rPr>
          <t xml:space="preserve"> </t>
        </r>
        <r>
          <rPr>
            <sz val="11"/>
            <color indexed="81"/>
            <rFont val="ＭＳ Ｐゴシック"/>
            <family val="3"/>
            <charset val="128"/>
          </rPr>
          <t>［Ｈｚ］</t>
        </r>
        <r>
          <rPr>
            <b/>
            <sz val="11"/>
            <color indexed="81"/>
            <rFont val="ＭＳ Ｐゴシック"/>
            <family val="3"/>
            <charset val="128"/>
          </rPr>
          <t>の値
　  を</t>
        </r>
        <r>
          <rPr>
            <b/>
            <sz val="11"/>
            <color indexed="10"/>
            <rFont val="ＭＳ Ｐゴシック"/>
            <family val="3"/>
            <charset val="128"/>
          </rPr>
          <t>入力</t>
        </r>
        <r>
          <rPr>
            <b/>
            <sz val="11"/>
            <color indexed="81"/>
            <rFont val="ＭＳ Ｐゴシック"/>
            <family val="3"/>
            <charset val="128"/>
          </rPr>
          <t>して下さい。</t>
        </r>
      </text>
    </comment>
    <comment ref="M12" authorId="0">
      <text>
        <r>
          <rPr>
            <sz val="14"/>
            <color indexed="10"/>
            <rFont val="ＭＳ Ｐゴシック"/>
            <family val="3"/>
            <charset val="128"/>
          </rPr>
          <t xml:space="preserve">  </t>
        </r>
        <r>
          <rPr>
            <b/>
            <sz val="11"/>
            <color indexed="10"/>
            <rFont val="ＭＳ Ｐゴシック"/>
            <family val="3"/>
            <charset val="128"/>
          </rPr>
          <t>……ご注意……</t>
        </r>
        <r>
          <rPr>
            <sz val="9"/>
            <color indexed="81"/>
            <rFont val="ＭＳ Ｐゴシック"/>
            <family val="3"/>
            <charset val="128"/>
          </rPr>
          <t xml:space="preserve">
　</t>
        </r>
        <r>
          <rPr>
            <b/>
            <sz val="10"/>
            <color indexed="12"/>
            <rFont val="ＭＳ Ｐゴシック"/>
            <family val="3"/>
            <charset val="128"/>
          </rPr>
          <t>＃Ｎ/Ａ</t>
        </r>
        <r>
          <rPr>
            <b/>
            <sz val="11"/>
            <color indexed="12"/>
            <rFont val="ＭＳ Ｐゴシック"/>
            <family val="3"/>
            <charset val="128"/>
          </rPr>
          <t xml:space="preserve"> </t>
        </r>
        <r>
          <rPr>
            <sz val="9"/>
            <color indexed="81"/>
            <rFont val="ＭＳ Ｐゴシック"/>
            <family val="3"/>
            <charset val="128"/>
          </rPr>
          <t xml:space="preserve">が表示された
　ときは､ </t>
        </r>
        <r>
          <rPr>
            <sz val="9"/>
            <color indexed="12"/>
            <rFont val="ＭＳ Ｐゴシック"/>
            <family val="3"/>
            <charset val="128"/>
          </rPr>
          <t>DATA Table</t>
        </r>
        <r>
          <rPr>
            <sz val="9"/>
            <color indexed="81"/>
            <rFont val="ＭＳ Ｐゴシック"/>
            <family val="3"/>
            <charset val="128"/>
          </rPr>
          <t xml:space="preserve"> に
　必要デ－タ を</t>
        </r>
        <r>
          <rPr>
            <sz val="9"/>
            <color indexed="10"/>
            <rFont val="ＭＳ Ｐゴシック"/>
            <family val="3"/>
            <charset val="128"/>
          </rPr>
          <t xml:space="preserve">入力 </t>
        </r>
        <r>
          <rPr>
            <sz val="9"/>
            <color indexed="81"/>
            <rFont val="ＭＳ Ｐゴシック"/>
            <family val="3"/>
            <charset val="128"/>
          </rPr>
          <t>して
　下さい。</t>
        </r>
      </text>
    </comment>
    <comment ref="AG12" authorId="0">
      <text>
        <r>
          <rPr>
            <b/>
            <sz val="18"/>
            <color indexed="12"/>
            <rFont val="ＭＳ Ｐゴシック"/>
            <family val="3"/>
            <charset val="128"/>
          </rPr>
          <t xml:space="preserve"> </t>
        </r>
        <r>
          <rPr>
            <b/>
            <sz val="12"/>
            <color indexed="12"/>
            <rFont val="ＭＳ Ｐゴシック"/>
            <family val="3"/>
            <charset val="128"/>
          </rPr>
          <t>電源電圧に対する
  線路電圧降下</t>
        </r>
        <r>
          <rPr>
            <b/>
            <sz val="10"/>
            <color indexed="12"/>
            <rFont val="ＭＳ Ｐゴシック"/>
            <family val="3"/>
            <charset val="128"/>
          </rPr>
          <t>[％]</t>
        </r>
        <r>
          <rPr>
            <sz val="9"/>
            <color indexed="81"/>
            <rFont val="ＭＳ Ｐゴシック"/>
            <family val="3"/>
            <charset val="128"/>
          </rPr>
          <t xml:space="preserve">
</t>
        </r>
      </text>
    </comment>
    <comment ref="AJ12" authorId="0">
      <text>
        <r>
          <rPr>
            <sz val="14"/>
            <color indexed="81"/>
            <rFont val="ＭＳ Ｐゴシック"/>
            <family val="3"/>
            <charset val="128"/>
          </rPr>
          <t xml:space="preserve"> </t>
        </r>
        <r>
          <rPr>
            <b/>
            <sz val="11"/>
            <color indexed="81"/>
            <rFont val="ＭＳ Ｐゴシック"/>
            <family val="3"/>
            <charset val="128"/>
          </rPr>
          <t>ドロップダウンリスト
 から選んで下さい。</t>
        </r>
      </text>
    </comment>
    <comment ref="F13" authorId="0">
      <text>
        <r>
          <rPr>
            <sz val="16"/>
            <color indexed="81"/>
            <rFont val="ＭＳ Ｐゴシック"/>
            <family val="3"/>
            <charset val="128"/>
          </rPr>
          <t xml:space="preserve">  </t>
        </r>
        <r>
          <rPr>
            <b/>
            <sz val="11"/>
            <color indexed="81"/>
            <rFont val="ＭＳ Ｐゴシック"/>
            <family val="3"/>
            <charset val="128"/>
          </rPr>
          <t>求めたい</t>
        </r>
        <r>
          <rPr>
            <b/>
            <sz val="11"/>
            <color indexed="10"/>
            <rFont val="ＭＳ Ｐゴシック"/>
            <family val="3"/>
            <charset val="128"/>
          </rPr>
          <t>導体温度</t>
        </r>
        <r>
          <rPr>
            <b/>
            <sz val="11"/>
            <color indexed="81"/>
            <rFont val="ＭＳ Ｐゴシック"/>
            <family val="3"/>
            <charset val="128"/>
          </rPr>
          <t>を</t>
        </r>
        <r>
          <rPr>
            <b/>
            <sz val="11"/>
            <color indexed="10"/>
            <rFont val="ＭＳ Ｐゴシック"/>
            <family val="3"/>
            <charset val="128"/>
          </rPr>
          <t>入力</t>
        </r>
        <r>
          <rPr>
            <b/>
            <sz val="11"/>
            <color indexed="81"/>
            <rFont val="ＭＳ Ｐゴシック"/>
            <family val="3"/>
            <charset val="128"/>
          </rPr>
          <t xml:space="preserve">
   して下さい。</t>
        </r>
        <r>
          <rPr>
            <sz val="11"/>
            <color indexed="81"/>
            <rFont val="ＭＳ Ｐゴシック"/>
            <family val="3"/>
            <charset val="128"/>
          </rPr>
          <t>（</t>
        </r>
        <r>
          <rPr>
            <b/>
            <sz val="11"/>
            <color indexed="12"/>
            <rFont val="ＭＳ Ｐゴシック"/>
            <family val="3"/>
            <charset val="128"/>
          </rPr>
          <t>各行</t>
        </r>
        <r>
          <rPr>
            <sz val="11"/>
            <color indexed="81"/>
            <rFont val="ＭＳ Ｐゴシック"/>
            <family val="3"/>
            <charset val="128"/>
          </rPr>
          <t>）</t>
        </r>
        <r>
          <rPr>
            <sz val="9"/>
            <color indexed="81"/>
            <rFont val="ＭＳ Ｐゴシック"/>
            <family val="3"/>
            <charset val="128"/>
          </rPr>
          <t xml:space="preserve">
</t>
        </r>
        <r>
          <rPr>
            <sz val="14"/>
            <color indexed="81"/>
            <rFont val="ＭＳ Ｐゴシック"/>
            <family val="3"/>
            <charset val="128"/>
          </rPr>
          <t>　　　</t>
        </r>
        <r>
          <rPr>
            <sz val="9"/>
            <color indexed="12"/>
            <rFont val="ＭＳ Ｐゴシック"/>
            <family val="3"/>
            <charset val="128"/>
          </rPr>
          <t>--半角入力です。--</t>
        </r>
        <r>
          <rPr>
            <sz val="9"/>
            <color indexed="81"/>
            <rFont val="ＭＳ Ｐゴシック"/>
            <family val="3"/>
            <charset val="128"/>
          </rPr>
          <t xml:space="preserve">
         -100[℃] ～ +300[℃]
　</t>
        </r>
        <r>
          <rPr>
            <sz val="9"/>
            <color indexed="14"/>
            <rFont val="ＭＳ Ｐゴシック"/>
            <family val="3"/>
            <charset val="128"/>
          </rPr>
          <t>ご注意</t>
        </r>
        <r>
          <rPr>
            <sz val="9"/>
            <color indexed="81"/>
            <rFont val="ＭＳ Ｐゴシック"/>
            <family val="3"/>
            <charset val="128"/>
          </rPr>
          <t xml:space="preserve">：入力をしないと、０ [℃]で
            計算します。
</t>
        </r>
        <r>
          <rPr>
            <sz val="16"/>
            <color indexed="81"/>
            <rFont val="ＭＳ Ｐゴシック"/>
            <family val="3"/>
            <charset val="128"/>
          </rPr>
          <t xml:space="preserve">  </t>
        </r>
        <r>
          <rPr>
            <b/>
            <sz val="11"/>
            <color indexed="12"/>
            <rFont val="ＭＳ Ｐゴシック"/>
            <family val="3"/>
            <charset val="128"/>
          </rPr>
          <t>導体温度について</t>
        </r>
        <r>
          <rPr>
            <sz val="9"/>
            <color indexed="81"/>
            <rFont val="ＭＳ Ｐゴシック"/>
            <family val="3"/>
            <charset val="128"/>
          </rPr>
          <t xml:space="preserve">
　　</t>
        </r>
        <r>
          <rPr>
            <sz val="10"/>
            <color indexed="12"/>
            <rFont val="ＭＳ Ｐゴシック"/>
            <family val="3"/>
            <charset val="128"/>
          </rPr>
          <t>２０[℃]  は、基準温度で ＥＰＳ､
　 天井内等の周囲温度を考慮する
　 と､寒冷地を除き</t>
        </r>
        <r>
          <rPr>
            <sz val="10"/>
            <color indexed="10"/>
            <rFont val="ＭＳ Ｐゴシック"/>
            <family val="3"/>
            <charset val="128"/>
          </rPr>
          <t xml:space="preserve"> 50～60 [℃] </t>
        </r>
        <r>
          <rPr>
            <sz val="10"/>
            <color indexed="12"/>
            <rFont val="ＭＳ Ｐゴシック"/>
            <family val="3"/>
            <charset val="128"/>
          </rPr>
          <t xml:space="preserve">の
　 値が現実的です。　またＣＶケｰ
　 ブルの導体最高許容温度は、
　 </t>
        </r>
        <r>
          <rPr>
            <sz val="10"/>
            <color indexed="10"/>
            <rFont val="ＭＳ Ｐゴシック"/>
            <family val="3"/>
            <charset val="128"/>
          </rPr>
          <t>90[℃]</t>
        </r>
        <r>
          <rPr>
            <sz val="10"/>
            <color indexed="12"/>
            <rFont val="ＭＳ Ｐゴシック"/>
            <family val="3"/>
            <charset val="128"/>
          </rPr>
          <t>ですから、この値も無視で
　 きません。</t>
        </r>
      </text>
    </comment>
    <comment ref="L13" authorId="0">
      <text>
        <r>
          <rPr>
            <sz val="16"/>
            <color indexed="81"/>
            <rFont val="ＭＳ Ｐゴシック"/>
            <family val="3"/>
            <charset val="128"/>
          </rPr>
          <t xml:space="preserve">  </t>
        </r>
        <r>
          <rPr>
            <b/>
            <sz val="11"/>
            <color indexed="81"/>
            <rFont val="ＭＳ Ｐゴシック"/>
            <family val="3"/>
            <charset val="128"/>
          </rPr>
          <t>…</t>
        </r>
        <r>
          <rPr>
            <b/>
            <sz val="11"/>
            <color indexed="14"/>
            <rFont val="ＭＳ Ｐゴシック"/>
            <family val="3"/>
            <charset val="128"/>
          </rPr>
          <t>（注）</t>
        </r>
        <r>
          <rPr>
            <b/>
            <sz val="11"/>
            <color indexed="12"/>
            <rFont val="ＭＳ Ｐゴシック"/>
            <family val="3"/>
            <charset val="128"/>
          </rPr>
          <t>半角入力とする。</t>
        </r>
        <r>
          <rPr>
            <b/>
            <sz val="11"/>
            <color indexed="81"/>
            <rFont val="ＭＳ Ｐゴシック"/>
            <family val="3"/>
            <charset val="128"/>
          </rPr>
          <t>…
　</t>
        </r>
        <r>
          <rPr>
            <sz val="10"/>
            <color indexed="81"/>
            <rFont val="ＭＳ Ｐゴシック"/>
            <family val="3"/>
            <charset val="128"/>
          </rPr>
          <t>ＤＡＴＡ Ｔａｂｌｅ には、下記のデ－タが
　登録されています。</t>
        </r>
        <r>
          <rPr>
            <sz val="10"/>
            <color indexed="12"/>
            <rFont val="ＭＳ Ｐゴシック"/>
            <family val="3"/>
            <charset val="128"/>
          </rPr>
          <t>（50/60Hz）</t>
        </r>
        <r>
          <rPr>
            <sz val="11"/>
            <color indexed="81"/>
            <rFont val="ＭＳ Ｐゴシック"/>
            <family val="3"/>
            <charset val="128"/>
          </rPr>
          <t xml:space="preserve">
</t>
        </r>
        <r>
          <rPr>
            <sz val="10"/>
            <color indexed="81"/>
            <rFont val="ＭＳ Ｐゴシック"/>
            <family val="3"/>
            <charset val="128"/>
          </rPr>
          <t xml:space="preserve">
   </t>
        </r>
        <r>
          <rPr>
            <sz val="9"/>
            <color indexed="81"/>
            <rFont val="ＭＳ Ｐゴシック"/>
            <family val="3"/>
            <charset val="128"/>
          </rPr>
          <t xml:space="preserve"> ３φ３Ｗ－</t>
        </r>
        <r>
          <rPr>
            <b/>
            <sz val="9"/>
            <color indexed="81"/>
            <rFont val="ＭＳ Ｐゴシック"/>
            <family val="3"/>
            <charset val="128"/>
          </rPr>
          <t>２０　～　１０００</t>
        </r>
        <r>
          <rPr>
            <sz val="9"/>
            <color indexed="81"/>
            <rFont val="ＭＳ Ｐゴシック"/>
            <family val="3"/>
            <charset val="128"/>
          </rPr>
          <t>［ＫＶＡ］
　　１φ３Ｗ－</t>
        </r>
        <r>
          <rPr>
            <b/>
            <sz val="9"/>
            <color indexed="81"/>
            <rFont val="ＭＳ Ｐゴシック"/>
            <family val="3"/>
            <charset val="128"/>
          </rPr>
          <t>１０　～　  ５００</t>
        </r>
        <r>
          <rPr>
            <sz val="9"/>
            <color indexed="81"/>
            <rFont val="ＭＳ Ｐゴシック"/>
            <family val="3"/>
            <charset val="128"/>
          </rPr>
          <t>［ＫＶＡ］</t>
        </r>
        <r>
          <rPr>
            <b/>
            <sz val="9"/>
            <color indexed="81"/>
            <rFont val="ＭＳ Ｐゴシック"/>
            <family val="3"/>
            <charset val="128"/>
          </rPr>
          <t xml:space="preserve">
</t>
        </r>
        <r>
          <rPr>
            <sz val="9"/>
            <color indexed="81"/>
            <rFont val="ＭＳ Ｐゴシック"/>
            <family val="3"/>
            <charset val="128"/>
          </rPr>
          <t xml:space="preserve">
  ご使用変圧器の </t>
        </r>
        <r>
          <rPr>
            <sz val="9"/>
            <color indexed="10"/>
            <rFont val="ＭＳ Ｐゴシック"/>
            <family val="3"/>
            <charset val="128"/>
          </rPr>
          <t>％Ｒ</t>
        </r>
        <r>
          <rPr>
            <sz val="9"/>
            <color indexed="81"/>
            <rFont val="ＭＳ Ｐゴシック"/>
            <family val="3"/>
            <charset val="128"/>
          </rPr>
          <t>，</t>
        </r>
        <r>
          <rPr>
            <sz val="9"/>
            <color indexed="10"/>
            <rFont val="ＭＳ Ｐゴシック"/>
            <family val="3"/>
            <charset val="128"/>
          </rPr>
          <t>％Ｘ</t>
        </r>
        <r>
          <rPr>
            <sz val="9"/>
            <color indexed="81"/>
            <rFont val="ＭＳ Ｐゴシック"/>
            <family val="3"/>
            <charset val="128"/>
          </rPr>
          <t xml:space="preserve"> をお確かめ
　のうえ、</t>
        </r>
        <r>
          <rPr>
            <sz val="9"/>
            <color indexed="12"/>
            <rFont val="ＭＳ Ｐゴシック"/>
            <family val="3"/>
            <charset val="128"/>
          </rPr>
          <t>ＤＡＴＡ　Ｔａｂｌｅ</t>
        </r>
        <r>
          <rPr>
            <sz val="9"/>
            <color indexed="81"/>
            <rFont val="ＭＳ Ｐゴシック"/>
            <family val="3"/>
            <charset val="128"/>
          </rPr>
          <t xml:space="preserve"> を修正して計算
　されると正確な値が求められます。</t>
        </r>
      </text>
    </comment>
    <comment ref="M13" authorId="0">
      <text>
        <r>
          <rPr>
            <sz val="18"/>
            <color indexed="10"/>
            <rFont val="ＭＳ Ｐゴシック"/>
            <family val="3"/>
            <charset val="128"/>
          </rPr>
          <t xml:space="preserve">  </t>
        </r>
        <r>
          <rPr>
            <b/>
            <sz val="12"/>
            <color indexed="10"/>
            <rFont val="ＭＳ Ｐゴシック"/>
            <family val="3"/>
            <charset val="128"/>
          </rPr>
          <t>自動計算</t>
        </r>
        <r>
          <rPr>
            <sz val="11"/>
            <color indexed="81"/>
            <rFont val="ＭＳ Ｐゴシック"/>
            <family val="3"/>
            <charset val="128"/>
          </rPr>
          <t>（変圧器定格電流）</t>
        </r>
        <r>
          <rPr>
            <b/>
            <sz val="9"/>
            <color indexed="81"/>
            <rFont val="ＭＳ Ｐゴシック"/>
            <family val="3"/>
            <charset val="128"/>
          </rPr>
          <t xml:space="preserve">
　</t>
        </r>
        <r>
          <rPr>
            <sz val="10"/>
            <color indexed="12"/>
            <rFont val="ＭＳ Ｐゴシック"/>
            <family val="3"/>
            <charset val="128"/>
          </rPr>
          <t>３φの場合</t>
        </r>
        <r>
          <rPr>
            <b/>
            <sz val="9"/>
            <color indexed="81"/>
            <rFont val="ＭＳ Ｐゴシック"/>
            <family val="3"/>
            <charset val="128"/>
          </rPr>
          <t xml:space="preserve">
　　</t>
        </r>
        <r>
          <rPr>
            <sz val="10"/>
            <color indexed="81"/>
            <rFont val="ＭＳ Ｐゴシック"/>
            <family val="3"/>
            <charset val="128"/>
          </rPr>
          <t>容量［ＫＶＡ］／（√３ ｘ 二次電圧）</t>
        </r>
        <r>
          <rPr>
            <b/>
            <sz val="9"/>
            <color indexed="81"/>
            <rFont val="ＭＳ Ｐゴシック"/>
            <family val="3"/>
            <charset val="128"/>
          </rPr>
          <t xml:space="preserve">
　</t>
        </r>
        <r>
          <rPr>
            <sz val="10"/>
            <color indexed="12"/>
            <rFont val="ＭＳ Ｐゴシック"/>
            <family val="3"/>
            <charset val="128"/>
          </rPr>
          <t>１φの場合</t>
        </r>
        <r>
          <rPr>
            <b/>
            <sz val="9"/>
            <color indexed="81"/>
            <rFont val="ＭＳ Ｐゴシック"/>
            <family val="3"/>
            <charset val="128"/>
          </rPr>
          <t xml:space="preserve">
　　</t>
        </r>
        <r>
          <rPr>
            <sz val="10"/>
            <color indexed="81"/>
            <rFont val="ＭＳ Ｐゴシック"/>
            <family val="3"/>
            <charset val="128"/>
          </rPr>
          <t>容量［ＫＶＡ］／二次電圧</t>
        </r>
      </text>
    </comment>
    <comment ref="AF13" authorId="0">
      <text>
        <r>
          <rPr>
            <b/>
            <sz val="16"/>
            <color indexed="12"/>
            <rFont val="ＭＳ Ｐゴシック"/>
            <family val="3"/>
            <charset val="128"/>
          </rPr>
          <t xml:space="preserve"> </t>
        </r>
        <r>
          <rPr>
            <b/>
            <sz val="14"/>
            <color indexed="12"/>
            <rFont val="ＭＳ Ｐゴシック"/>
            <family val="3"/>
            <charset val="128"/>
          </rPr>
          <t>回路図 Ｅ</t>
        </r>
        <r>
          <rPr>
            <b/>
            <sz val="8"/>
            <color indexed="12"/>
            <rFont val="ＭＳ Ｐゴシック"/>
            <family val="3"/>
            <charset val="128"/>
          </rPr>
          <t xml:space="preserve">Ｂ </t>
        </r>
        <r>
          <rPr>
            <b/>
            <sz val="12"/>
            <color indexed="12"/>
            <rFont val="ＭＳ Ｐゴシック"/>
            <family val="3"/>
            <charset val="128"/>
          </rPr>
          <t>部
  の電圧</t>
        </r>
        <r>
          <rPr>
            <b/>
            <sz val="10"/>
            <color indexed="12"/>
            <rFont val="ＭＳ Ｐゴシック"/>
            <family val="3"/>
            <charset val="128"/>
          </rPr>
          <t xml:space="preserve"> ［Ｖ］</t>
        </r>
      </text>
    </comment>
    <comment ref="AJ13" authorId="0">
      <text>
        <r>
          <rPr>
            <sz val="14"/>
            <color indexed="81"/>
            <rFont val="ＭＳ Ｐゴシック"/>
            <family val="3"/>
            <charset val="128"/>
          </rPr>
          <t xml:space="preserve">  </t>
        </r>
        <r>
          <rPr>
            <b/>
            <sz val="11"/>
            <color indexed="81"/>
            <rFont val="ＭＳ Ｐゴシック"/>
            <family val="3"/>
            <charset val="128"/>
          </rPr>
          <t>ドロップダウンリスト
　から選んで下さい。</t>
        </r>
      </text>
    </comment>
    <comment ref="BD18" authorId="2">
      <text>
        <r>
          <rPr>
            <sz val="11"/>
            <color indexed="81"/>
            <rFont val="ＭＳ Ｐ明朝"/>
            <family val="1"/>
            <charset val="128"/>
          </rPr>
          <t>　</t>
        </r>
        <r>
          <rPr>
            <b/>
            <sz val="11"/>
            <color indexed="12"/>
            <rFont val="ＭＳ Ｐ明朝"/>
            <family val="1"/>
            <charset val="128"/>
          </rPr>
          <t>追加・修正</t>
        </r>
        <r>
          <rPr>
            <b/>
            <sz val="16"/>
            <color indexed="12"/>
            <rFont val="ＭＳ Ｐ明朝"/>
            <family val="1"/>
            <charset val="128"/>
          </rPr>
          <t xml:space="preserve"> </t>
        </r>
        <r>
          <rPr>
            <b/>
            <sz val="11"/>
            <color indexed="12"/>
            <rFont val="ＭＳ Ｐ明朝"/>
            <family val="1"/>
            <charset val="128"/>
          </rPr>
          <t xml:space="preserve">
 削除できます。</t>
        </r>
        <r>
          <rPr>
            <sz val="11"/>
            <color indexed="81"/>
            <rFont val="ＭＳ Ｐ明朝"/>
            <family val="1"/>
            <charset val="128"/>
          </rPr>
          <t xml:space="preserve">
</t>
        </r>
      </text>
    </comment>
    <comment ref="BF18" authorId="2">
      <text>
        <r>
          <rPr>
            <sz val="11"/>
            <color indexed="81"/>
            <rFont val="ＭＳ Ｐ明朝"/>
            <family val="1"/>
            <charset val="128"/>
          </rPr>
          <t>　</t>
        </r>
        <r>
          <rPr>
            <b/>
            <sz val="11"/>
            <color indexed="12"/>
            <rFont val="ＭＳ Ｐ明朝"/>
            <family val="1"/>
            <charset val="128"/>
          </rPr>
          <t>追加・修正</t>
        </r>
        <r>
          <rPr>
            <b/>
            <sz val="16"/>
            <color indexed="12"/>
            <rFont val="ＭＳ Ｐ明朝"/>
            <family val="1"/>
            <charset val="128"/>
          </rPr>
          <t xml:space="preserve"> </t>
        </r>
        <r>
          <rPr>
            <b/>
            <sz val="11"/>
            <color indexed="12"/>
            <rFont val="ＭＳ Ｐ明朝"/>
            <family val="1"/>
            <charset val="128"/>
          </rPr>
          <t xml:space="preserve">
 削除できます。</t>
        </r>
        <r>
          <rPr>
            <sz val="11"/>
            <color indexed="81"/>
            <rFont val="ＭＳ Ｐ明朝"/>
            <family val="1"/>
            <charset val="128"/>
          </rPr>
          <t xml:space="preserve">
</t>
        </r>
      </text>
    </comment>
    <comment ref="BF36" authorId="2">
      <text>
        <r>
          <rPr>
            <sz val="11"/>
            <color indexed="81"/>
            <rFont val="ＭＳ Ｐ明朝"/>
            <family val="1"/>
            <charset val="128"/>
          </rPr>
          <t>　</t>
        </r>
        <r>
          <rPr>
            <b/>
            <sz val="11"/>
            <color indexed="12"/>
            <rFont val="ＭＳ Ｐ明朝"/>
            <family val="1"/>
            <charset val="128"/>
          </rPr>
          <t>追加・修正</t>
        </r>
        <r>
          <rPr>
            <b/>
            <sz val="16"/>
            <color indexed="12"/>
            <rFont val="ＭＳ Ｐ明朝"/>
            <family val="1"/>
            <charset val="128"/>
          </rPr>
          <t xml:space="preserve"> </t>
        </r>
        <r>
          <rPr>
            <b/>
            <sz val="11"/>
            <color indexed="12"/>
            <rFont val="ＭＳ Ｐ明朝"/>
            <family val="1"/>
            <charset val="128"/>
          </rPr>
          <t xml:space="preserve">
 削除できます。</t>
        </r>
        <r>
          <rPr>
            <sz val="11"/>
            <color indexed="81"/>
            <rFont val="ＭＳ Ｐ明朝"/>
            <family val="1"/>
            <charset val="128"/>
          </rPr>
          <t xml:space="preserve">
</t>
        </r>
      </text>
    </comment>
  </commentList>
</comments>
</file>

<file path=xl/comments2.xml><?xml version="1.0" encoding="utf-8"?>
<comments xmlns="http://schemas.openxmlformats.org/spreadsheetml/2006/main">
  <authors>
    <author>佐海 恭三</author>
  </authors>
  <commentList>
    <comment ref="B1" authorId="0">
      <text>
        <r>
          <rPr>
            <b/>
            <sz val="20"/>
            <color indexed="81"/>
            <rFont val="ＭＳ Ｐゴシック"/>
            <family val="3"/>
            <charset val="128"/>
          </rPr>
          <t xml:space="preserve"> この ＤＡＴＡ Ｔａｂｌｅ は、
 </t>
        </r>
        <r>
          <rPr>
            <b/>
            <sz val="20"/>
            <color indexed="10"/>
            <rFont val="ＭＳ Ｐゴシック"/>
            <family val="3"/>
            <charset val="128"/>
          </rPr>
          <t>セルの保護</t>
        </r>
        <r>
          <rPr>
            <b/>
            <sz val="20"/>
            <color indexed="81"/>
            <rFont val="ＭＳ Ｐゴシック"/>
            <family val="3"/>
            <charset val="128"/>
          </rPr>
          <t>をしてない
 のでデ－タの管理には
 十分</t>
        </r>
        <r>
          <rPr>
            <b/>
            <sz val="20"/>
            <color indexed="10"/>
            <rFont val="ＭＳ Ｐゴシック"/>
            <family val="3"/>
            <charset val="128"/>
          </rPr>
          <t>注意</t>
        </r>
        <r>
          <rPr>
            <b/>
            <sz val="20"/>
            <color indexed="81"/>
            <rFont val="ＭＳ Ｐゴシック"/>
            <family val="3"/>
            <charset val="128"/>
          </rPr>
          <t xml:space="preserve">して下さい。
</t>
        </r>
        <r>
          <rPr>
            <sz val="9"/>
            <color indexed="81"/>
            <rFont val="ＭＳ Ｐゴシック"/>
            <family val="3"/>
            <charset val="128"/>
          </rPr>
          <t xml:space="preserve">
</t>
        </r>
      </text>
    </comment>
    <comment ref="E2"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％Ｚは、自動
　表示します。
　三菱電機(株)
　名古屋製作所</t>
        </r>
      </text>
    </comment>
    <comment ref="J2"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％Ｚは、自動
　表示します。
　三菱電機(株)
　名古屋製作所</t>
        </r>
      </text>
    </comment>
    <comment ref="O2"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％Ｚは、自動
　表示します。
　三菱電機(株)
　名古屋製作所</t>
        </r>
      </text>
    </comment>
    <comment ref="T2"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％Ｚは、自動
　表示します。
　三菱電機(株)
　名古屋製作所</t>
        </r>
      </text>
    </comment>
    <comment ref="X2"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住友電工(株)
　電線技術資料
　</t>
        </r>
        <r>
          <rPr>
            <sz val="9"/>
            <color indexed="12"/>
            <rFont val="ＭＳ Ｐゴシック"/>
            <family val="3"/>
            <charset val="128"/>
          </rPr>
          <t>１９９１．３ &lt;</t>
        </r>
        <r>
          <rPr>
            <sz val="10"/>
            <color indexed="12"/>
            <rFont val="ＭＳ Ｐゴシック"/>
            <family val="3"/>
            <charset val="128"/>
          </rPr>
          <t>P475</t>
        </r>
        <r>
          <rPr>
            <sz val="9"/>
            <color indexed="12"/>
            <rFont val="ＭＳ Ｐゴシック"/>
            <family val="3"/>
            <charset val="128"/>
          </rPr>
          <t>)</t>
        </r>
      </text>
    </comment>
    <comment ref="AB2"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住友電工(株)
　電線技術資料
　</t>
        </r>
        <r>
          <rPr>
            <sz val="9"/>
            <color indexed="12"/>
            <rFont val="ＭＳ Ｐゴシック"/>
            <family val="3"/>
            <charset val="128"/>
          </rPr>
          <t>１９９１．３ (</t>
        </r>
        <r>
          <rPr>
            <sz val="10"/>
            <color indexed="12"/>
            <rFont val="ＭＳ Ｐゴシック"/>
            <family val="3"/>
            <charset val="128"/>
          </rPr>
          <t>P478</t>
        </r>
        <r>
          <rPr>
            <sz val="9"/>
            <color indexed="12"/>
            <rFont val="ＭＳ Ｐゴシック"/>
            <family val="3"/>
            <charset val="128"/>
          </rPr>
          <t>)</t>
        </r>
      </text>
    </comment>
    <comment ref="E18"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％Ｚは、自動
　表示します。
　三菱電機(株)
　名古屋製作所</t>
        </r>
      </text>
    </comment>
    <comment ref="J18"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％Ｚは、自動
　表示します。
　三菱電機(株)
　名古屋製作所</t>
        </r>
      </text>
    </comment>
    <comment ref="O18"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％Ｚは、自動
　表示します。
　三菱電機(株)
　名古屋製作所</t>
        </r>
      </text>
    </comment>
    <comment ref="T18"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％Ｚは、自動
　表示します。
　三菱電機(株)
　名古屋製作所</t>
        </r>
      </text>
    </comment>
    <comment ref="X23" authorId="0">
      <text>
        <r>
          <rPr>
            <sz val="2"/>
            <color indexed="10"/>
            <rFont val="ＭＳ Ｐゴシック"/>
            <family val="3"/>
            <charset val="128"/>
          </rPr>
          <t>　　　　　　　　　　　　　　　　　　　　　　　　　　　　　　　　　　　　　　　　　　　　　　　　　　　　　　　　　　　　　　　　　
　　　　</t>
        </r>
        <r>
          <rPr>
            <sz val="3"/>
            <color indexed="10"/>
            <rFont val="ＭＳ Ｐゴシック"/>
            <family val="3"/>
            <charset val="128"/>
          </rPr>
          <t xml:space="preserve">　　 </t>
        </r>
        <r>
          <rPr>
            <b/>
            <sz val="12"/>
            <color indexed="10"/>
            <rFont val="ＭＳ Ｐゴシック"/>
            <family val="3"/>
            <charset val="128"/>
          </rPr>
          <t xml:space="preserve">下の空欄に
 登録できます </t>
        </r>
        <r>
          <rPr>
            <sz val="9"/>
            <color indexed="81"/>
            <rFont val="ＭＳ Ｐゴシック"/>
            <family val="3"/>
            <charset val="128"/>
          </rPr>
          <t xml:space="preserve">
　 </t>
        </r>
        <r>
          <rPr>
            <sz val="12"/>
            <color indexed="12"/>
            <rFont val="ＭＳ Ｐゴシック"/>
            <family val="3"/>
            <charset val="128"/>
          </rPr>
          <t>住友電工(株)
　電線技術資料
　</t>
        </r>
        <r>
          <rPr>
            <sz val="9"/>
            <color indexed="12"/>
            <rFont val="ＭＳ Ｐゴシック"/>
            <family val="3"/>
            <charset val="128"/>
          </rPr>
          <t>１９９１．３ (</t>
        </r>
        <r>
          <rPr>
            <sz val="10"/>
            <color indexed="12"/>
            <rFont val="ＭＳ Ｐゴシック"/>
            <family val="3"/>
            <charset val="128"/>
          </rPr>
          <t>P478</t>
        </r>
        <r>
          <rPr>
            <sz val="9"/>
            <color indexed="12"/>
            <rFont val="ＭＳ Ｐゴシック"/>
            <family val="3"/>
            <charset val="128"/>
          </rPr>
          <t>)</t>
        </r>
      </text>
    </comment>
    <comment ref="AB23" authorId="0">
      <text>
        <r>
          <rPr>
            <b/>
            <sz val="12"/>
            <color indexed="10"/>
            <rFont val="ＭＳ Ｐゴシック"/>
            <family val="3"/>
            <charset val="128"/>
          </rPr>
          <t xml:space="preserve"> </t>
        </r>
        <r>
          <rPr>
            <b/>
            <sz val="14"/>
            <color indexed="10"/>
            <rFont val="ＭＳ Ｐゴシック"/>
            <family val="3"/>
            <charset val="128"/>
          </rPr>
          <t>USER</t>
        </r>
        <r>
          <rPr>
            <b/>
            <sz val="12"/>
            <color indexed="10"/>
            <rFont val="ＭＳ Ｐゴシック"/>
            <family val="3"/>
            <charset val="128"/>
          </rPr>
          <t xml:space="preserve">
 登録用 </t>
        </r>
        <r>
          <rPr>
            <sz val="9"/>
            <color indexed="81"/>
            <rFont val="ＭＳ Ｐゴシック"/>
            <family val="3"/>
            <charset val="128"/>
          </rPr>
          <t xml:space="preserve">
</t>
        </r>
      </text>
    </comment>
    <comment ref="E36" authorId="0">
      <text>
        <r>
          <rPr>
            <b/>
            <sz val="12"/>
            <color indexed="10"/>
            <rFont val="ＭＳ Ｐゴシック"/>
            <family val="3"/>
            <charset val="128"/>
          </rPr>
          <t xml:space="preserve"> </t>
        </r>
        <r>
          <rPr>
            <b/>
            <sz val="14"/>
            <color indexed="10"/>
            <rFont val="ＭＳ Ｐゴシック"/>
            <family val="3"/>
            <charset val="128"/>
          </rPr>
          <t>USER</t>
        </r>
        <r>
          <rPr>
            <b/>
            <sz val="12"/>
            <color indexed="10"/>
            <rFont val="ＭＳ Ｐゴシック"/>
            <family val="3"/>
            <charset val="128"/>
          </rPr>
          <t xml:space="preserve">
 登録用 </t>
        </r>
        <r>
          <rPr>
            <sz val="9"/>
            <color indexed="81"/>
            <rFont val="ＭＳ Ｐゴシック"/>
            <family val="3"/>
            <charset val="128"/>
          </rPr>
          <t xml:space="preserve">
</t>
        </r>
      </text>
    </comment>
    <comment ref="J36" authorId="0">
      <text>
        <r>
          <rPr>
            <b/>
            <sz val="12"/>
            <color indexed="10"/>
            <rFont val="ＭＳ Ｐゴシック"/>
            <family val="3"/>
            <charset val="128"/>
          </rPr>
          <t xml:space="preserve"> </t>
        </r>
        <r>
          <rPr>
            <b/>
            <sz val="14"/>
            <color indexed="10"/>
            <rFont val="ＭＳ Ｐゴシック"/>
            <family val="3"/>
            <charset val="128"/>
          </rPr>
          <t>USER</t>
        </r>
        <r>
          <rPr>
            <b/>
            <sz val="12"/>
            <color indexed="10"/>
            <rFont val="ＭＳ Ｐゴシック"/>
            <family val="3"/>
            <charset val="128"/>
          </rPr>
          <t xml:space="preserve">
 登録用 </t>
        </r>
        <r>
          <rPr>
            <sz val="9"/>
            <color indexed="81"/>
            <rFont val="ＭＳ Ｐゴシック"/>
            <family val="3"/>
            <charset val="128"/>
          </rPr>
          <t xml:space="preserve">
</t>
        </r>
      </text>
    </comment>
  </commentList>
</comments>
</file>

<file path=xl/sharedStrings.xml><?xml version="1.0" encoding="utf-8"?>
<sst xmlns="http://schemas.openxmlformats.org/spreadsheetml/2006/main" count="328" uniqueCount="228">
  <si>
    <t>系　統 　　　　番　号</t>
    <rPh sb="0" eb="3">
      <t>ケイトウ</t>
    </rPh>
    <phoneticPr fontId="3"/>
  </si>
  <si>
    <t>適　用　区　間</t>
    <rPh sb="0" eb="3">
      <t>テキヨウ</t>
    </rPh>
    <rPh sb="4" eb="7">
      <t>クカン</t>
    </rPh>
    <phoneticPr fontId="3"/>
  </si>
  <si>
    <t>配　電　側　機　器</t>
    <rPh sb="0" eb="1">
      <t>ハイソウ</t>
    </rPh>
    <rPh sb="1" eb="3">
      <t>ソウデン</t>
    </rPh>
    <rPh sb="4" eb="5">
      <t>カワ</t>
    </rPh>
    <rPh sb="6" eb="9">
      <t>キキ</t>
    </rPh>
    <phoneticPr fontId="3"/>
  </si>
  <si>
    <t>負　　　荷　　　側　　　機　　　器</t>
    <rPh sb="0" eb="5">
      <t>フカ</t>
    </rPh>
    <rPh sb="8" eb="9">
      <t>カワ</t>
    </rPh>
    <rPh sb="12" eb="17">
      <t>キキ</t>
    </rPh>
    <phoneticPr fontId="3"/>
  </si>
  <si>
    <r>
      <t>配 電</t>
    </r>
    <r>
      <rPr>
        <sz val="11"/>
        <rFont val="ＭＳ Ｐゴシック"/>
        <family val="3"/>
        <charset val="128"/>
      </rPr>
      <t xml:space="preserve"> </t>
    </r>
    <r>
      <rPr>
        <sz val="11"/>
        <rFont val="ＭＳ Ｐゴシック"/>
        <family val="3"/>
        <charset val="128"/>
      </rPr>
      <t>側</t>
    </r>
    <rPh sb="0" eb="1">
      <t>ハイデン</t>
    </rPh>
    <rPh sb="1" eb="3">
      <t>ソウデン</t>
    </rPh>
    <rPh sb="4" eb="5">
      <t>ガワ</t>
    </rPh>
    <phoneticPr fontId="3"/>
  </si>
  <si>
    <t>負　　荷　　側</t>
    <rPh sb="0" eb="1">
      <t>フカ</t>
    </rPh>
    <rPh sb="3" eb="4">
      <t>ジュデン</t>
    </rPh>
    <rPh sb="6" eb="7">
      <t>ガワ</t>
    </rPh>
    <phoneticPr fontId="3"/>
  </si>
  <si>
    <t>配　電　側　　　主幹開閉器</t>
    <rPh sb="0" eb="3">
      <t>ハイデン</t>
    </rPh>
    <rPh sb="4" eb="5">
      <t>ガワ</t>
    </rPh>
    <rPh sb="8" eb="10">
      <t>シュカン</t>
    </rPh>
    <rPh sb="10" eb="13">
      <t>カイヘイキ</t>
    </rPh>
    <phoneticPr fontId="3"/>
  </si>
  <si>
    <t xml:space="preserve">備　　　　　　　　考 </t>
    <phoneticPr fontId="3"/>
  </si>
  <si>
    <r>
      <t>電源電圧</t>
    </r>
    <r>
      <rPr>
        <b/>
        <sz val="9"/>
        <rFont val="ＭＳ Ｐゴシック"/>
        <family val="3"/>
        <charset val="128"/>
      </rPr>
      <t>Ｅ</t>
    </r>
    <r>
      <rPr>
        <sz val="6"/>
        <rFont val="ＭＳ Ｐゴシック"/>
        <family val="3"/>
        <charset val="128"/>
      </rPr>
      <t>Ｓ</t>
    </r>
    <rPh sb="0" eb="2">
      <t>デンゲン</t>
    </rPh>
    <rPh sb="2" eb="4">
      <t>デンアツ</t>
    </rPh>
    <phoneticPr fontId="3"/>
  </si>
  <si>
    <t>電 力 変 圧 器</t>
    <phoneticPr fontId="3"/>
  </si>
  <si>
    <r>
      <t>ＳＣ</t>
    </r>
    <r>
      <rPr>
        <sz val="6"/>
        <rFont val="ＭＳ Ｐゴシック"/>
        <family val="3"/>
        <charset val="128"/>
      </rPr>
      <t>Ｒ  　　　</t>
    </r>
    <r>
      <rPr>
        <sz val="10"/>
        <rFont val="ＭＳ Ｐ明朝"/>
        <family val="1"/>
        <charset val="128"/>
      </rPr>
      <t>容　量</t>
    </r>
    <rPh sb="8" eb="11">
      <t>ヨウリョウ</t>
    </rPh>
    <phoneticPr fontId="3"/>
  </si>
  <si>
    <t>負　　荷　　設　　備　　容　　量</t>
    <rPh sb="0" eb="4">
      <t>フカ</t>
    </rPh>
    <rPh sb="6" eb="10">
      <t>セツビ</t>
    </rPh>
    <rPh sb="12" eb="16">
      <t>ヨウリョウ</t>
    </rPh>
    <phoneticPr fontId="3"/>
  </si>
  <si>
    <r>
      <t>ＳＣ</t>
    </r>
    <r>
      <rPr>
        <sz val="6"/>
        <rFont val="ＭＳ Ｐゴシック"/>
        <family val="3"/>
        <charset val="128"/>
      </rPr>
      <t>Ｌ　   　</t>
    </r>
    <r>
      <rPr>
        <sz val="10"/>
        <rFont val="ＭＳ Ｐ明朝"/>
        <family val="1"/>
        <charset val="128"/>
      </rPr>
      <t>容　量</t>
    </r>
    <rPh sb="8" eb="11">
      <t>ヨウリョウ</t>
    </rPh>
    <phoneticPr fontId="3"/>
  </si>
  <si>
    <t>名　　　称</t>
    <rPh sb="0" eb="5">
      <t>メイショウ</t>
    </rPh>
    <phoneticPr fontId="3"/>
  </si>
  <si>
    <t>布設方法</t>
    <rPh sb="0" eb="2">
      <t>フセツ</t>
    </rPh>
    <rPh sb="2" eb="4">
      <t>ホウホウ</t>
    </rPh>
    <phoneticPr fontId="3"/>
  </si>
  <si>
    <r>
      <t>電圧</t>
    </r>
    <r>
      <rPr>
        <sz val="6"/>
        <rFont val="ＭＳ Ｐ明朝"/>
        <family val="1"/>
        <charset val="128"/>
      </rPr>
      <t xml:space="preserve"> </t>
    </r>
    <r>
      <rPr>
        <sz val="6"/>
        <rFont val="ＭＳ Ｐゴシック"/>
        <family val="3"/>
        <charset val="128"/>
      </rPr>
      <t xml:space="preserve"> </t>
    </r>
    <r>
      <rPr>
        <b/>
        <sz val="10"/>
        <rFont val="ＭＳ Ｐゴシック"/>
        <family val="3"/>
        <charset val="128"/>
      </rPr>
      <t>Ｅ</t>
    </r>
    <r>
      <rPr>
        <sz val="6"/>
        <rFont val="ＭＳ Ｐゴシック"/>
        <family val="3"/>
        <charset val="128"/>
      </rPr>
      <t>Ｒ　</t>
    </r>
    <r>
      <rPr>
        <sz val="10"/>
        <rFont val="ＭＳ Ｐ明朝"/>
        <family val="1"/>
        <charset val="128"/>
      </rPr>
      <t>[V]</t>
    </r>
    <rPh sb="0" eb="2">
      <t>デンアツ</t>
    </rPh>
    <phoneticPr fontId="3"/>
  </si>
  <si>
    <r>
      <t>電圧</t>
    </r>
    <r>
      <rPr>
        <sz val="10"/>
        <rFont val="ＭＳ Ｐ明朝"/>
        <family val="1"/>
        <charset val="128"/>
      </rPr>
      <t xml:space="preserve"> </t>
    </r>
    <r>
      <rPr>
        <sz val="10"/>
        <rFont val="ＭＳ Ｐゴシック"/>
        <family val="3"/>
        <charset val="128"/>
      </rPr>
      <t xml:space="preserve"> </t>
    </r>
    <r>
      <rPr>
        <b/>
        <sz val="10"/>
        <rFont val="ＭＳ Ｐゴシック"/>
        <family val="3"/>
        <charset val="128"/>
      </rPr>
      <t>Ｅ</t>
    </r>
    <r>
      <rPr>
        <sz val="6"/>
        <rFont val="ＭＳ Ｐゴシック"/>
        <family val="3"/>
        <charset val="128"/>
      </rPr>
      <t>Ｌ</t>
    </r>
    <r>
      <rPr>
        <sz val="10"/>
        <rFont val="ＭＳ Ｐ明朝"/>
        <family val="1"/>
        <charset val="128"/>
      </rPr>
      <t>[V]</t>
    </r>
    <rPh sb="0" eb="2">
      <t>デンアツ</t>
    </rPh>
    <phoneticPr fontId="3"/>
  </si>
  <si>
    <r>
      <t xml:space="preserve">電流 </t>
    </r>
    <r>
      <rPr>
        <b/>
        <sz val="10"/>
        <rFont val="ＭＳ Ｐゴシック"/>
        <family val="3"/>
        <charset val="128"/>
      </rPr>
      <t>Ｉ</t>
    </r>
    <r>
      <rPr>
        <sz val="6"/>
        <rFont val="ＭＳ Ｐゴシック"/>
        <family val="3"/>
        <charset val="128"/>
      </rPr>
      <t>Ｌ</t>
    </r>
    <r>
      <rPr>
        <sz val="10"/>
        <rFont val="ＭＳ Ｐ明朝"/>
        <family val="1"/>
        <charset val="128"/>
      </rPr>
      <t xml:space="preserve">[A] </t>
    </r>
    <rPh sb="0" eb="2">
      <t>デンアツ</t>
    </rPh>
    <phoneticPr fontId="3"/>
  </si>
  <si>
    <t>形　式</t>
    <rPh sb="0" eb="3">
      <t>ケイシキ</t>
    </rPh>
    <phoneticPr fontId="3"/>
  </si>
  <si>
    <t>台　数</t>
    <rPh sb="0" eb="3">
      <t>ダイスウ</t>
    </rPh>
    <phoneticPr fontId="3"/>
  </si>
  <si>
    <t>負荷種別</t>
    <rPh sb="0" eb="2">
      <t>フカ</t>
    </rPh>
    <rPh sb="2" eb="4">
      <t>シュベツ</t>
    </rPh>
    <phoneticPr fontId="3"/>
  </si>
  <si>
    <t>効 率</t>
    <rPh sb="0" eb="3">
      <t>コウリツ</t>
    </rPh>
    <phoneticPr fontId="3"/>
  </si>
  <si>
    <t>力 率</t>
    <rPh sb="0" eb="1">
      <t>リキ</t>
    </rPh>
    <rPh sb="2" eb="3">
      <t>リツ</t>
    </rPh>
    <phoneticPr fontId="3"/>
  </si>
  <si>
    <t>入力</t>
    <rPh sb="0" eb="2">
      <t>ニュウリョク</t>
    </rPh>
    <phoneticPr fontId="3"/>
  </si>
  <si>
    <t>公 称　　断 面</t>
    <rPh sb="0" eb="3">
      <t>コウショウ</t>
    </rPh>
    <rPh sb="5" eb="8">
      <t>ダンメン</t>
    </rPh>
    <phoneticPr fontId="3"/>
  </si>
  <si>
    <t>条数</t>
    <rPh sb="0" eb="1">
      <t>ジョウ</t>
    </rPh>
    <rPh sb="1" eb="2">
      <t>スウ</t>
    </rPh>
    <phoneticPr fontId="3"/>
  </si>
  <si>
    <t>亘 長      [ｍ]</t>
    <phoneticPr fontId="3"/>
  </si>
  <si>
    <t>許容電流　　[A]</t>
    <rPh sb="0" eb="2">
      <t>キョヨウ</t>
    </rPh>
    <rPh sb="2" eb="4">
      <t>デンリュウ</t>
    </rPh>
    <phoneticPr fontId="3"/>
  </si>
  <si>
    <r>
      <t>全負荷電流</t>
    </r>
    <r>
      <rPr>
        <sz val="10"/>
        <rFont val="ＭＳ Ｐ明朝"/>
        <family val="1"/>
        <charset val="128"/>
      </rPr>
      <t>[A]</t>
    </r>
    <rPh sb="0" eb="1">
      <t>ゼン</t>
    </rPh>
    <rPh sb="1" eb="3">
      <t>フカ</t>
    </rPh>
    <rPh sb="3" eb="5">
      <t>デンアツ</t>
    </rPh>
    <phoneticPr fontId="3"/>
  </si>
  <si>
    <r>
      <t xml:space="preserve">電流 </t>
    </r>
    <r>
      <rPr>
        <b/>
        <sz val="10"/>
        <rFont val="ＭＳ Ｐゴシック"/>
        <family val="3"/>
        <charset val="128"/>
      </rPr>
      <t>Ｉ</t>
    </r>
    <r>
      <rPr>
        <sz val="6"/>
        <rFont val="ＭＳ Ｐゴシック"/>
        <family val="3"/>
        <charset val="128"/>
      </rPr>
      <t>Ｃ</t>
    </r>
    <r>
      <rPr>
        <sz val="10"/>
        <rFont val="ＭＳ Ｐ明朝"/>
        <family val="1"/>
        <charset val="128"/>
      </rPr>
      <t>[A]　　　　累計</t>
    </r>
    <rPh sb="0" eb="2">
      <t>デンアツ</t>
    </rPh>
    <rPh sb="12" eb="14">
      <t>ルイケイ</t>
    </rPh>
    <phoneticPr fontId="3"/>
  </si>
  <si>
    <r>
      <t>周波数</t>
    </r>
    <r>
      <rPr>
        <sz val="10"/>
        <rFont val="ＭＳ Ｐ明朝"/>
        <family val="1"/>
        <charset val="128"/>
      </rPr>
      <t xml:space="preserve"> [Hz]</t>
    </r>
    <rPh sb="0" eb="3">
      <t>シュウハスウ</t>
    </rPh>
    <phoneticPr fontId="3"/>
  </si>
  <si>
    <t>[Kvar]</t>
    <phoneticPr fontId="3"/>
  </si>
  <si>
    <t>出力</t>
    <rPh sb="0" eb="2">
      <t>シュツリョク</t>
    </rPh>
    <phoneticPr fontId="3"/>
  </si>
  <si>
    <t>需要率</t>
    <rPh sb="0" eb="2">
      <t>ジュヨウ</t>
    </rPh>
    <rPh sb="2" eb="3">
      <t>リツ</t>
    </rPh>
    <phoneticPr fontId="3"/>
  </si>
  <si>
    <r>
      <t>Ｒ</t>
    </r>
    <r>
      <rPr>
        <sz val="6"/>
        <rFont val="ＭＳ Ｐゴシック"/>
        <family val="3"/>
        <charset val="128"/>
      </rPr>
      <t xml:space="preserve"> Ｌ</t>
    </r>
    <r>
      <rPr>
        <sz val="10"/>
        <rFont val="ＭＳ Ｐゴシック"/>
        <family val="3"/>
        <charset val="128"/>
      </rPr>
      <t xml:space="preserve"> </t>
    </r>
    <r>
      <rPr>
        <sz val="10"/>
        <rFont val="ＭＳ Ｐ明朝"/>
        <family val="1"/>
        <charset val="128"/>
      </rPr>
      <t>[Ω]</t>
    </r>
    <phoneticPr fontId="3"/>
  </si>
  <si>
    <r>
      <t>変圧器電流</t>
    </r>
    <r>
      <rPr>
        <sz val="10"/>
        <rFont val="ＭＳ Ｐ明朝"/>
        <family val="1"/>
        <charset val="128"/>
      </rPr>
      <t>[A]</t>
    </r>
    <rPh sb="0" eb="3">
      <t>ヘンアツキ</t>
    </rPh>
    <rPh sb="3" eb="5">
      <t>デンアツ</t>
    </rPh>
    <phoneticPr fontId="3"/>
  </si>
  <si>
    <t>名　　称</t>
    <rPh sb="0" eb="4">
      <t>メイショウ</t>
    </rPh>
    <phoneticPr fontId="3"/>
  </si>
  <si>
    <t>計 算 温 度</t>
    <rPh sb="0" eb="3">
      <t>ケイサン</t>
    </rPh>
    <rPh sb="4" eb="7">
      <t>オンド</t>
    </rPh>
    <phoneticPr fontId="3"/>
  </si>
  <si>
    <t>容 量  /</t>
    <rPh sb="0" eb="3">
      <t>ヨウリョウ</t>
    </rPh>
    <phoneticPr fontId="3"/>
  </si>
  <si>
    <t>定格電流</t>
    <rPh sb="0" eb="2">
      <t>テイカク</t>
    </rPh>
    <rPh sb="2" eb="4">
      <t>デンリュウ</t>
    </rPh>
    <phoneticPr fontId="3"/>
  </si>
  <si>
    <t>[KW]</t>
    <phoneticPr fontId="3"/>
  </si>
  <si>
    <t>η</t>
    <phoneticPr fontId="3"/>
  </si>
  <si>
    <t>cosφ</t>
    <phoneticPr fontId="3"/>
  </si>
  <si>
    <t>[KVA]</t>
    <phoneticPr fontId="3"/>
  </si>
  <si>
    <t>Ｄｆ</t>
    <phoneticPr fontId="3"/>
  </si>
  <si>
    <t>[A]</t>
    <phoneticPr fontId="3"/>
  </si>
  <si>
    <r>
      <t>Ｘ</t>
    </r>
    <r>
      <rPr>
        <sz val="6"/>
        <rFont val="ＭＳ Ｐゴシック"/>
        <family val="3"/>
        <charset val="128"/>
      </rPr>
      <t xml:space="preserve"> Ｌ</t>
    </r>
    <r>
      <rPr>
        <sz val="10"/>
        <rFont val="ＭＳ Ｐゴシック"/>
        <family val="3"/>
        <charset val="128"/>
      </rPr>
      <t xml:space="preserve"> </t>
    </r>
    <r>
      <rPr>
        <sz val="10"/>
        <rFont val="ＭＳ Ｐ明朝"/>
        <family val="1"/>
        <charset val="128"/>
      </rPr>
      <t>[Ω]</t>
    </r>
    <phoneticPr fontId="3"/>
  </si>
  <si>
    <t>平均力率</t>
    <rPh sb="0" eb="2">
      <t>ヘイキン</t>
    </rPh>
    <rPh sb="2" eb="3">
      <t>リキ</t>
    </rPh>
    <rPh sb="3" eb="4">
      <t>リツ</t>
    </rPh>
    <phoneticPr fontId="3"/>
  </si>
  <si>
    <r>
      <t>Ｚ</t>
    </r>
    <r>
      <rPr>
        <sz val="6"/>
        <rFont val="ＭＳ Ｐ明朝"/>
        <family val="1"/>
        <charset val="128"/>
      </rPr>
      <t xml:space="preserve"> </t>
    </r>
    <r>
      <rPr>
        <sz val="6"/>
        <rFont val="ＭＳ Ｐゴシック"/>
        <family val="3"/>
        <charset val="128"/>
      </rPr>
      <t>Ｃ１</t>
    </r>
    <r>
      <rPr>
        <sz val="10"/>
        <rFont val="ＭＳ Ｐ明朝"/>
        <family val="1"/>
        <charset val="128"/>
      </rPr>
      <t xml:space="preserve"> (</t>
    </r>
    <r>
      <rPr>
        <sz val="10"/>
        <rFont val="ＭＳ Ｐゴシック"/>
        <family val="3"/>
        <charset val="128"/>
      </rPr>
      <t>低圧幹線</t>
    </r>
    <r>
      <rPr>
        <sz val="10"/>
        <rFont val="ＭＳ Ｐ明朝"/>
        <family val="1"/>
        <charset val="128"/>
      </rPr>
      <t>)</t>
    </r>
    <rPh sb="6" eb="8">
      <t>テイアツ</t>
    </rPh>
    <rPh sb="8" eb="10">
      <t>カンセン</t>
    </rPh>
    <phoneticPr fontId="3"/>
  </si>
  <si>
    <r>
      <t>Ｚ</t>
    </r>
    <r>
      <rPr>
        <sz val="6"/>
        <rFont val="ＭＳ Ｐゴシック"/>
        <family val="3"/>
        <charset val="128"/>
      </rPr>
      <t xml:space="preserve"> Ｃ２</t>
    </r>
    <r>
      <rPr>
        <sz val="10"/>
        <rFont val="ＭＳ Ｐゴシック"/>
        <family val="3"/>
        <charset val="128"/>
      </rPr>
      <t xml:space="preserve"> (低圧分岐幹線)</t>
    </r>
    <rPh sb="6" eb="12">
      <t>センテイ</t>
    </rPh>
    <phoneticPr fontId="3"/>
  </si>
  <si>
    <r>
      <t>分岐部電圧</t>
    </r>
    <r>
      <rPr>
        <sz val="10"/>
        <rFont val="ＭＳ Ｐ明朝"/>
        <family val="1"/>
        <charset val="128"/>
      </rPr>
      <t>[V]</t>
    </r>
    <rPh sb="0" eb="2">
      <t>ブンキ</t>
    </rPh>
    <rPh sb="2" eb="3">
      <t>ブ</t>
    </rPh>
    <rPh sb="3" eb="5">
      <t>デンアツ</t>
    </rPh>
    <phoneticPr fontId="3"/>
  </si>
  <si>
    <r>
      <t>Z</t>
    </r>
    <r>
      <rPr>
        <sz val="6"/>
        <rFont val="ＭＳ Ｐゴシック"/>
        <family val="3"/>
        <charset val="128"/>
      </rPr>
      <t>ｎ１</t>
    </r>
    <r>
      <rPr>
        <sz val="10"/>
        <rFont val="ＭＳ Ｐゴシック"/>
        <family val="3"/>
        <charset val="128"/>
      </rPr>
      <t>（</t>
    </r>
    <r>
      <rPr>
        <b/>
        <sz val="10"/>
        <rFont val="ＭＳ Ｐゴシック"/>
        <family val="3"/>
        <charset val="128"/>
      </rPr>
      <t>Ｌ</t>
    </r>
    <r>
      <rPr>
        <sz val="6"/>
        <rFont val="ＭＳ Ｐゴシック"/>
        <family val="3"/>
        <charset val="128"/>
      </rPr>
      <t>ｎ</t>
    </r>
    <r>
      <rPr>
        <sz val="10"/>
        <rFont val="ＭＳ Ｐゴシック"/>
        <family val="3"/>
        <charset val="128"/>
      </rPr>
      <t>＋</t>
    </r>
    <r>
      <rPr>
        <b/>
        <sz val="10"/>
        <rFont val="ＭＳ Ｐゴシック"/>
        <family val="3"/>
        <charset val="128"/>
      </rPr>
      <t>Ｃ</t>
    </r>
    <r>
      <rPr>
        <sz val="6"/>
        <rFont val="ＭＳ Ｐゴシック"/>
        <family val="3"/>
        <charset val="128"/>
      </rPr>
      <t>Ｌｎ</t>
    </r>
    <r>
      <rPr>
        <sz val="10"/>
        <rFont val="ＭＳ Ｐゴシック"/>
        <family val="3"/>
        <charset val="128"/>
      </rPr>
      <t>）</t>
    </r>
    <phoneticPr fontId="3"/>
  </si>
  <si>
    <t>-ＡＴ</t>
    <phoneticPr fontId="3"/>
  </si>
  <si>
    <t>高圧コンデンサ容量</t>
    <rPh sb="0" eb="2">
      <t>コウアツ</t>
    </rPh>
    <rPh sb="7" eb="9">
      <t>ヨウリョウ</t>
    </rPh>
    <phoneticPr fontId="3"/>
  </si>
  <si>
    <t>低圧コンデンサ容量</t>
    <rPh sb="0" eb="2">
      <t>テイアツ</t>
    </rPh>
    <rPh sb="2" eb="5">
      <t>シンコウ</t>
    </rPh>
    <rPh sb="7" eb="9">
      <t>ヨウリョウ</t>
    </rPh>
    <phoneticPr fontId="3"/>
  </si>
  <si>
    <t>負荷種別</t>
    <rPh sb="0" eb="2">
      <t>フカ</t>
    </rPh>
    <rPh sb="2" eb="4">
      <t>シュベツ</t>
    </rPh>
    <phoneticPr fontId="33"/>
  </si>
  <si>
    <t>生産動力</t>
    <rPh sb="0" eb="2">
      <t>セイサン</t>
    </rPh>
    <rPh sb="2" eb="4">
      <t>ドウリョク</t>
    </rPh>
    <phoneticPr fontId="33"/>
  </si>
  <si>
    <t>熱源動力</t>
    <rPh sb="0" eb="2">
      <t>ネツゲン</t>
    </rPh>
    <rPh sb="2" eb="4">
      <t>ドウリョク</t>
    </rPh>
    <phoneticPr fontId="33"/>
  </si>
  <si>
    <t>空調動力</t>
    <rPh sb="0" eb="2">
      <t>クウチョウ</t>
    </rPh>
    <rPh sb="2" eb="4">
      <t>ドウリョク</t>
    </rPh>
    <phoneticPr fontId="33"/>
  </si>
  <si>
    <t>換気動力</t>
    <rPh sb="0" eb="2">
      <t>カンキ</t>
    </rPh>
    <rPh sb="2" eb="4">
      <t>ドウリョク</t>
    </rPh>
    <phoneticPr fontId="33"/>
  </si>
  <si>
    <t>衛生動力</t>
    <rPh sb="0" eb="2">
      <t>エイセイ</t>
    </rPh>
    <rPh sb="2" eb="4">
      <t>ドウリョク</t>
    </rPh>
    <phoneticPr fontId="33"/>
  </si>
  <si>
    <t>防災動力</t>
    <rPh sb="0" eb="2">
      <t>ボウサイ</t>
    </rPh>
    <rPh sb="2" eb="4">
      <t>ドウリョク</t>
    </rPh>
    <phoneticPr fontId="33"/>
  </si>
  <si>
    <t>動力差込</t>
    <rPh sb="0" eb="2">
      <t>ドウリョク</t>
    </rPh>
    <rPh sb="2" eb="4">
      <t>サシコミ</t>
    </rPh>
    <phoneticPr fontId="33"/>
  </si>
  <si>
    <t>照明器具</t>
    <rPh sb="0" eb="2">
      <t>ショウメイ</t>
    </rPh>
    <rPh sb="2" eb="4">
      <t>キグ</t>
    </rPh>
    <phoneticPr fontId="33"/>
  </si>
  <si>
    <t>コンセント</t>
    <phoneticPr fontId="33"/>
  </si>
  <si>
    <t>専用回路</t>
    <rPh sb="0" eb="2">
      <t>センヨウ</t>
    </rPh>
    <rPh sb="2" eb="4">
      <t>カイロ</t>
    </rPh>
    <phoneticPr fontId="33"/>
  </si>
  <si>
    <t>防災電源</t>
    <rPh sb="0" eb="2">
      <t>ボウサイ</t>
    </rPh>
    <rPh sb="2" eb="4">
      <t>デンゲン</t>
    </rPh>
    <phoneticPr fontId="33"/>
  </si>
  <si>
    <t>　物件名を入力して下さい。</t>
    <phoneticPr fontId="3"/>
  </si>
  <si>
    <t>担当者名を入力して下さい</t>
    <phoneticPr fontId="3"/>
  </si>
  <si>
    <r>
      <t xml:space="preserve">ご注意 </t>
    </r>
    <r>
      <rPr>
        <sz val="14"/>
        <color indexed="10"/>
        <rFont val="ＭＳ Ｐゴシック"/>
        <family val="3"/>
        <charset val="128"/>
      </rPr>
      <t>⇒</t>
    </r>
    <rPh sb="1" eb="3">
      <t>チュウイ</t>
    </rPh>
    <phoneticPr fontId="3"/>
  </si>
  <si>
    <t>変圧器</t>
    <rPh sb="0" eb="3">
      <t>ヘンアツキ</t>
    </rPh>
    <phoneticPr fontId="3"/>
  </si>
  <si>
    <r>
      <t>1φ油入</t>
    </r>
    <r>
      <rPr>
        <sz val="11"/>
        <color indexed="10"/>
        <rFont val="ＭＳ Ｐゴシック"/>
        <family val="3"/>
        <charset val="128"/>
      </rPr>
      <t>[50Hz]</t>
    </r>
    <rPh sb="2" eb="3">
      <t>アブラ</t>
    </rPh>
    <rPh sb="3" eb="4">
      <t>イ</t>
    </rPh>
    <phoneticPr fontId="3"/>
  </si>
  <si>
    <t>　　　⇒</t>
    <phoneticPr fontId="3"/>
  </si>
  <si>
    <r>
      <t>1φモ－ルド</t>
    </r>
    <r>
      <rPr>
        <sz val="11"/>
        <color indexed="10"/>
        <rFont val="ＭＳ Ｐゴシック"/>
        <family val="3"/>
        <charset val="128"/>
      </rPr>
      <t>[50Hz]</t>
    </r>
    <phoneticPr fontId="3"/>
  </si>
  <si>
    <t>　　　⇒</t>
    <phoneticPr fontId="3"/>
  </si>
  <si>
    <r>
      <t>1φ油入</t>
    </r>
    <r>
      <rPr>
        <sz val="11"/>
        <color indexed="10"/>
        <rFont val="ＭＳ Ｐゴシック"/>
        <family val="3"/>
        <charset val="128"/>
      </rPr>
      <t>[60Hz]</t>
    </r>
    <rPh sb="2" eb="3">
      <t>アブラ</t>
    </rPh>
    <rPh sb="3" eb="4">
      <t>イ</t>
    </rPh>
    <phoneticPr fontId="3"/>
  </si>
  <si>
    <r>
      <t>1φモ－ルド</t>
    </r>
    <r>
      <rPr>
        <sz val="11"/>
        <color indexed="10"/>
        <rFont val="ＭＳ Ｐゴシック"/>
        <family val="3"/>
        <charset val="128"/>
      </rPr>
      <t>[60Hz]</t>
    </r>
    <phoneticPr fontId="3"/>
  </si>
  <si>
    <t>ＩＶ（電線管）</t>
    <rPh sb="3" eb="5">
      <t>デンセン</t>
    </rPh>
    <rPh sb="5" eb="6">
      <t>カン</t>
    </rPh>
    <phoneticPr fontId="3"/>
  </si>
  <si>
    <t>　　　⇒</t>
    <phoneticPr fontId="3"/>
  </si>
  <si>
    <t>600V CV-T</t>
    <phoneticPr fontId="3"/>
  </si>
  <si>
    <t>容 量</t>
    <rPh sb="0" eb="3">
      <t>ヨウリョウ</t>
    </rPh>
    <phoneticPr fontId="3"/>
  </si>
  <si>
    <t>％ Ｒ</t>
    <phoneticPr fontId="3"/>
  </si>
  <si>
    <t>％ Ｘ</t>
    <phoneticPr fontId="3"/>
  </si>
  <si>
    <t>％ Ｚ</t>
    <phoneticPr fontId="3"/>
  </si>
  <si>
    <t>公称</t>
    <rPh sb="0" eb="2">
      <t>コウショウ</t>
    </rPh>
    <phoneticPr fontId="3"/>
  </si>
  <si>
    <t>交流導体</t>
    <rPh sb="0" eb="2">
      <t>コウリュウ</t>
    </rPh>
    <rPh sb="2" eb="4">
      <t>ドウタイ</t>
    </rPh>
    <phoneticPr fontId="3"/>
  </si>
  <si>
    <t>ﾘｱｸﾀﾝｽ</t>
    <phoneticPr fontId="3"/>
  </si>
  <si>
    <t>断面</t>
    <rPh sb="0" eb="2">
      <t>ダンメン</t>
    </rPh>
    <phoneticPr fontId="3"/>
  </si>
  <si>
    <t>抵抗(60℃)</t>
    <rPh sb="0" eb="2">
      <t>テイコウ</t>
    </rPh>
    <phoneticPr fontId="3"/>
  </si>
  <si>
    <t>(５０Hz)</t>
    <phoneticPr fontId="3"/>
  </si>
  <si>
    <t>抵抗(90℃)</t>
    <rPh sb="0" eb="2">
      <t>テイコウ</t>
    </rPh>
    <phoneticPr fontId="3"/>
  </si>
  <si>
    <t>[Ω/Km]</t>
    <phoneticPr fontId="3"/>
  </si>
  <si>
    <r>
      <t>3φ油入</t>
    </r>
    <r>
      <rPr>
        <sz val="11"/>
        <color indexed="10"/>
        <rFont val="ＭＳ Ｐゴシック"/>
        <family val="3"/>
        <charset val="128"/>
      </rPr>
      <t>[50Hz]</t>
    </r>
    <rPh sb="2" eb="3">
      <t>アブラ</t>
    </rPh>
    <rPh sb="3" eb="4">
      <t>イ</t>
    </rPh>
    <phoneticPr fontId="3"/>
  </si>
  <si>
    <r>
      <t>3φモ－ルド</t>
    </r>
    <r>
      <rPr>
        <sz val="11"/>
        <color indexed="10"/>
        <rFont val="ＭＳ Ｐゴシック"/>
        <family val="3"/>
        <charset val="128"/>
      </rPr>
      <t>[50Hz]</t>
    </r>
    <phoneticPr fontId="3"/>
  </si>
  <si>
    <r>
      <t>3φ油入</t>
    </r>
    <r>
      <rPr>
        <sz val="11"/>
        <color indexed="10"/>
        <rFont val="ＭＳ Ｐゴシック"/>
        <family val="3"/>
        <charset val="128"/>
      </rPr>
      <t>[60Hz]</t>
    </r>
    <rPh sb="2" eb="3">
      <t>アブラ</t>
    </rPh>
    <rPh sb="3" eb="4">
      <t>イ</t>
    </rPh>
    <phoneticPr fontId="3"/>
  </si>
  <si>
    <r>
      <t>3φモ－ルド</t>
    </r>
    <r>
      <rPr>
        <sz val="11"/>
        <color indexed="10"/>
        <rFont val="ＭＳ Ｐゴシック"/>
        <family val="3"/>
        <charset val="128"/>
      </rPr>
      <t>[60Hz]</t>
    </r>
    <phoneticPr fontId="3"/>
  </si>
  <si>
    <t>600V CV-2C/3C</t>
    <phoneticPr fontId="3"/>
  </si>
  <si>
    <t>ＵＳＥＲ</t>
    <phoneticPr fontId="3"/>
  </si>
  <si>
    <t>3φＵＳＥＲ[50Hz]</t>
    <phoneticPr fontId="3"/>
  </si>
  <si>
    <t>発電機</t>
    <rPh sb="0" eb="3">
      <t>ハツデンキ</t>
    </rPh>
    <phoneticPr fontId="3"/>
  </si>
  <si>
    <t>ドロップダウン・リスト</t>
    <phoneticPr fontId="23"/>
  </si>
  <si>
    <t>適 用 区 間 (自)</t>
    <rPh sb="0" eb="3">
      <t>テキヨウ</t>
    </rPh>
    <rPh sb="4" eb="7">
      <t>クカン</t>
    </rPh>
    <rPh sb="9" eb="10">
      <t>ジ</t>
    </rPh>
    <phoneticPr fontId="23"/>
  </si>
  <si>
    <t>電気室 低圧盤</t>
    <rPh sb="0" eb="2">
      <t>デンキ</t>
    </rPh>
    <rPh sb="2" eb="3">
      <t>シツ</t>
    </rPh>
    <rPh sb="4" eb="6">
      <t>テイアツ</t>
    </rPh>
    <rPh sb="6" eb="7">
      <t>バン</t>
    </rPh>
    <phoneticPr fontId="23"/>
  </si>
  <si>
    <t>電気室 低圧動力盤</t>
    <rPh sb="0" eb="2">
      <t>デンキ</t>
    </rPh>
    <rPh sb="2" eb="3">
      <t>シツ</t>
    </rPh>
    <rPh sb="4" eb="6">
      <t>テイアツ</t>
    </rPh>
    <rPh sb="6" eb="8">
      <t>ドウリョク</t>
    </rPh>
    <rPh sb="8" eb="9">
      <t>バン</t>
    </rPh>
    <phoneticPr fontId="23"/>
  </si>
  <si>
    <t>電気室 200V 動力盤</t>
    <rPh sb="0" eb="2">
      <t>デンキ</t>
    </rPh>
    <rPh sb="2" eb="3">
      <t>シツ</t>
    </rPh>
    <rPh sb="9" eb="11">
      <t>ドウリョク</t>
    </rPh>
    <rPh sb="11" eb="12">
      <t>バン</t>
    </rPh>
    <phoneticPr fontId="23"/>
  </si>
  <si>
    <t>電気室 400V 動力盤</t>
    <rPh sb="0" eb="2">
      <t>デンキ</t>
    </rPh>
    <rPh sb="2" eb="3">
      <t>シツ</t>
    </rPh>
    <rPh sb="9" eb="11">
      <t>ドウリョク</t>
    </rPh>
    <rPh sb="11" eb="12">
      <t>バン</t>
    </rPh>
    <phoneticPr fontId="23"/>
  </si>
  <si>
    <t>電気室 440V 動力盤</t>
    <rPh sb="0" eb="2">
      <t>デンキ</t>
    </rPh>
    <rPh sb="2" eb="3">
      <t>シツ</t>
    </rPh>
    <rPh sb="9" eb="11">
      <t>ドウリョク</t>
    </rPh>
    <rPh sb="11" eb="12">
      <t>バン</t>
    </rPh>
    <phoneticPr fontId="23"/>
  </si>
  <si>
    <t>電気室 低圧照明盤</t>
    <rPh sb="0" eb="2">
      <t>デンキ</t>
    </rPh>
    <rPh sb="2" eb="3">
      <t>シツ</t>
    </rPh>
    <rPh sb="4" eb="6">
      <t>テイアツ</t>
    </rPh>
    <rPh sb="6" eb="8">
      <t>ショウメイ</t>
    </rPh>
    <rPh sb="8" eb="9">
      <t>バン</t>
    </rPh>
    <phoneticPr fontId="23"/>
  </si>
  <si>
    <t>屋内CB 低圧盤</t>
    <rPh sb="0" eb="2">
      <t>オクナイ</t>
    </rPh>
    <rPh sb="5" eb="8">
      <t>テイアツバン</t>
    </rPh>
    <phoneticPr fontId="23"/>
  </si>
  <si>
    <t>屋内CB 低圧動力盤</t>
    <rPh sb="5" eb="7">
      <t>テイアツ</t>
    </rPh>
    <rPh sb="7" eb="9">
      <t>ドウリョク</t>
    </rPh>
    <rPh sb="9" eb="10">
      <t>バン</t>
    </rPh>
    <phoneticPr fontId="23"/>
  </si>
  <si>
    <t>屋内CB 200V 動力盤</t>
    <rPh sb="10" eb="12">
      <t>ドウリョク</t>
    </rPh>
    <rPh sb="12" eb="13">
      <t>バン</t>
    </rPh>
    <phoneticPr fontId="23"/>
  </si>
  <si>
    <t>屋内CB 400V 動力盤</t>
    <rPh sb="10" eb="12">
      <t>ドウリョク</t>
    </rPh>
    <rPh sb="12" eb="13">
      <t>バン</t>
    </rPh>
    <phoneticPr fontId="23"/>
  </si>
  <si>
    <t>屋内CB 440V 動力盤</t>
    <rPh sb="10" eb="12">
      <t>ドウリョク</t>
    </rPh>
    <rPh sb="12" eb="13">
      <t>バン</t>
    </rPh>
    <phoneticPr fontId="23"/>
  </si>
  <si>
    <t>屋内CB 低圧照明盤</t>
    <rPh sb="5" eb="7">
      <t>テイアツ</t>
    </rPh>
    <rPh sb="7" eb="9">
      <t>ショウメイ</t>
    </rPh>
    <rPh sb="9" eb="10">
      <t>バン</t>
    </rPh>
    <phoneticPr fontId="23"/>
  </si>
  <si>
    <t>屋外CB 低圧盤</t>
    <rPh sb="0" eb="1">
      <t>オクナイ</t>
    </rPh>
    <rPh sb="1" eb="2">
      <t>ガイ</t>
    </rPh>
    <rPh sb="5" eb="8">
      <t>テイアツバン</t>
    </rPh>
    <phoneticPr fontId="23"/>
  </si>
  <si>
    <t>屋外CB 低圧動力盤</t>
    <rPh sb="5" eb="7">
      <t>テイアツ</t>
    </rPh>
    <rPh sb="7" eb="9">
      <t>ドウリョク</t>
    </rPh>
    <rPh sb="9" eb="10">
      <t>バン</t>
    </rPh>
    <phoneticPr fontId="23"/>
  </si>
  <si>
    <t>屋外CB 200V 動力盤</t>
    <rPh sb="10" eb="12">
      <t>ドウリョク</t>
    </rPh>
    <rPh sb="12" eb="13">
      <t>バン</t>
    </rPh>
    <phoneticPr fontId="23"/>
  </si>
  <si>
    <t>屋外CB 400V 動力盤</t>
    <rPh sb="10" eb="12">
      <t>ドウリョク</t>
    </rPh>
    <rPh sb="12" eb="13">
      <t>バン</t>
    </rPh>
    <phoneticPr fontId="23"/>
  </si>
  <si>
    <t>屋外CB 440V 動力盤</t>
    <rPh sb="10" eb="12">
      <t>ドウリョク</t>
    </rPh>
    <rPh sb="12" eb="13">
      <t>バン</t>
    </rPh>
    <phoneticPr fontId="23"/>
  </si>
  <si>
    <t>屋外CB 低圧照明盤</t>
    <rPh sb="5" eb="7">
      <t>テイアツ</t>
    </rPh>
    <rPh sb="7" eb="9">
      <t>ショウメイ</t>
    </rPh>
    <rPh sb="9" eb="10">
      <t>バン</t>
    </rPh>
    <phoneticPr fontId="23"/>
  </si>
  <si>
    <t>特高電気室 高圧配電盤</t>
    <rPh sb="0" eb="1">
      <t>トクベツ</t>
    </rPh>
    <rPh sb="1" eb="2">
      <t>コウアツ</t>
    </rPh>
    <rPh sb="2" eb="4">
      <t>デンキ</t>
    </rPh>
    <rPh sb="4" eb="5">
      <t>シツ</t>
    </rPh>
    <rPh sb="6" eb="8">
      <t>コウアツ</t>
    </rPh>
    <rPh sb="8" eb="11">
      <t>ハイデンバン</t>
    </rPh>
    <phoneticPr fontId="23"/>
  </si>
  <si>
    <t>特高電気室 高圧饋電盤</t>
    <rPh sb="0" eb="1">
      <t>トクベツ</t>
    </rPh>
    <rPh sb="1" eb="2">
      <t>コウアツ</t>
    </rPh>
    <rPh sb="2" eb="4">
      <t>デンキ</t>
    </rPh>
    <rPh sb="4" eb="5">
      <t>シツ</t>
    </rPh>
    <rPh sb="6" eb="8">
      <t>コウアツ</t>
    </rPh>
    <rPh sb="9" eb="11">
      <t>ハイデンバン</t>
    </rPh>
    <phoneticPr fontId="23"/>
  </si>
  <si>
    <t>特高電気室 6KVフィーダ盤</t>
    <rPh sb="0" eb="1">
      <t>トクベツ</t>
    </rPh>
    <rPh sb="1" eb="2">
      <t>コウアツ</t>
    </rPh>
    <rPh sb="2" eb="4">
      <t>デンキ</t>
    </rPh>
    <rPh sb="4" eb="5">
      <t>シツ</t>
    </rPh>
    <rPh sb="13" eb="14">
      <t>バン</t>
    </rPh>
    <phoneticPr fontId="23"/>
  </si>
  <si>
    <t>ドロップダウン・リスト</t>
    <phoneticPr fontId="23"/>
  </si>
  <si>
    <r>
      <t xml:space="preserve">電線ケーブル </t>
    </r>
    <r>
      <rPr>
        <b/>
        <sz val="11"/>
        <rFont val="ＭＳ 明朝"/>
        <family val="1"/>
        <charset val="128"/>
      </rPr>
      <t>名 称</t>
    </r>
    <rPh sb="7" eb="10">
      <t>メイショウ</t>
    </rPh>
    <phoneticPr fontId="23"/>
  </si>
  <si>
    <t>600V IV</t>
    <phoneticPr fontId="23"/>
  </si>
  <si>
    <t>600V CV</t>
    <phoneticPr fontId="23"/>
  </si>
  <si>
    <t>600V CV-T</t>
    <phoneticPr fontId="23"/>
  </si>
  <si>
    <t xml:space="preserve"> 6KV CV</t>
    <phoneticPr fontId="23"/>
  </si>
  <si>
    <t xml:space="preserve"> 6KV CV-T</t>
    <phoneticPr fontId="23"/>
  </si>
  <si>
    <t>22KV CV</t>
    <phoneticPr fontId="23"/>
  </si>
  <si>
    <t>22KV CV-T</t>
    <phoneticPr fontId="23"/>
  </si>
  <si>
    <t>ドロップダウン・リスト</t>
    <phoneticPr fontId="23"/>
  </si>
  <si>
    <r>
      <t xml:space="preserve">電線ケーブル </t>
    </r>
    <r>
      <rPr>
        <b/>
        <sz val="11"/>
        <rFont val="ＭＳ 明朝"/>
        <family val="1"/>
        <charset val="128"/>
      </rPr>
      <t>布設方法</t>
    </r>
    <rPh sb="7" eb="9">
      <t>フセツ</t>
    </rPh>
    <rPh sb="9" eb="11">
      <t>ホウホウ</t>
    </rPh>
    <phoneticPr fontId="23"/>
  </si>
  <si>
    <t>地中管路</t>
    <rPh sb="0" eb="2">
      <t>チチュウ</t>
    </rPh>
    <rPh sb="2" eb="4">
      <t>カンロ</t>
    </rPh>
    <phoneticPr fontId="23"/>
  </si>
  <si>
    <t>地中暗渠</t>
    <rPh sb="0" eb="2">
      <t>チチュウ</t>
    </rPh>
    <rPh sb="2" eb="4">
      <t>アンキョ</t>
    </rPh>
    <phoneticPr fontId="23"/>
  </si>
  <si>
    <t>地中開渠</t>
    <rPh sb="0" eb="2">
      <t>チチュウ</t>
    </rPh>
    <rPh sb="2" eb="4">
      <t>カイキョ</t>
    </rPh>
    <phoneticPr fontId="23"/>
  </si>
  <si>
    <t>鉄　板　ダクト</t>
    <rPh sb="0" eb="1">
      <t>テツ</t>
    </rPh>
    <rPh sb="2" eb="3">
      <t>バン</t>
    </rPh>
    <phoneticPr fontId="93"/>
  </si>
  <si>
    <t>気中開渠</t>
    <rPh sb="0" eb="1">
      <t>キチュウ</t>
    </rPh>
    <rPh sb="1" eb="2">
      <t>チュウ</t>
    </rPh>
    <rPh sb="2" eb="4">
      <t>カイキョ</t>
    </rPh>
    <phoneticPr fontId="23"/>
  </si>
  <si>
    <t>気中配管</t>
    <rPh sb="0" eb="1">
      <t>キチュウ</t>
    </rPh>
    <rPh sb="1" eb="2">
      <t>チュウ</t>
    </rPh>
    <rPh sb="2" eb="4">
      <t>ハイカン</t>
    </rPh>
    <phoneticPr fontId="23"/>
  </si>
  <si>
    <t>ラック100%</t>
    <phoneticPr fontId="23"/>
  </si>
  <si>
    <t>ラック 90%</t>
    <phoneticPr fontId="23"/>
  </si>
  <si>
    <t>ラック 80%</t>
    <phoneticPr fontId="23"/>
  </si>
  <si>
    <t>ラック 70%</t>
    <phoneticPr fontId="23"/>
  </si>
  <si>
    <t>ラック 65%</t>
    <phoneticPr fontId="23"/>
  </si>
  <si>
    <r>
      <t xml:space="preserve"> </t>
    </r>
    <r>
      <rPr>
        <b/>
        <sz val="12"/>
        <color indexed="10"/>
        <rFont val="ＭＳ Ｐ明朝"/>
        <family val="1"/>
        <charset val="128"/>
      </rPr>
      <t>貴社名を入力して下さい</t>
    </r>
    <phoneticPr fontId="1"/>
  </si>
  <si>
    <t>　 　   ⇒</t>
    <phoneticPr fontId="3"/>
  </si>
  <si>
    <t xml:space="preserve">  </t>
    <phoneticPr fontId="33"/>
  </si>
  <si>
    <t>　</t>
    <phoneticPr fontId="33"/>
  </si>
  <si>
    <t>　</t>
    <phoneticPr fontId="33"/>
  </si>
  <si>
    <t>電 気 方 式</t>
    <phoneticPr fontId="3"/>
  </si>
  <si>
    <r>
      <t>選　定　電　</t>
    </r>
    <r>
      <rPr>
        <sz val="11"/>
        <rFont val="ＭＳ Ｐゴシック"/>
        <family val="3"/>
        <charset val="128"/>
      </rPr>
      <t>線</t>
    </r>
    <r>
      <rPr>
        <sz val="11"/>
        <rFont val="ＭＳ Ｐゴシック"/>
        <family val="3"/>
        <charset val="128"/>
      </rPr>
      <t xml:space="preserve"> </t>
    </r>
    <r>
      <rPr>
        <sz val="11"/>
        <rFont val="ＭＳ Ｐゴシック"/>
        <family val="3"/>
        <charset val="128"/>
      </rPr>
      <t>－１</t>
    </r>
    <rPh sb="0" eb="3">
      <t>センテイ</t>
    </rPh>
    <rPh sb="4" eb="7">
      <t>デンセン</t>
    </rPh>
    <phoneticPr fontId="3"/>
  </si>
  <si>
    <r>
      <t>選　定　電　線</t>
    </r>
    <r>
      <rPr>
        <sz val="11"/>
        <rFont val="ＭＳ Ｐゴシック"/>
        <family val="3"/>
        <charset val="128"/>
      </rPr>
      <t xml:space="preserve"> </t>
    </r>
    <r>
      <rPr>
        <sz val="11"/>
        <rFont val="ＭＳ Ｐゴシック"/>
        <family val="3"/>
        <charset val="128"/>
      </rPr>
      <t>－２</t>
    </r>
    <rPh sb="0" eb="3">
      <t>センテイ</t>
    </rPh>
    <rPh sb="4" eb="7">
      <t>デンセン</t>
    </rPh>
    <phoneticPr fontId="3"/>
  </si>
  <si>
    <r>
      <t>1</t>
    </r>
    <r>
      <rPr>
        <sz val="11"/>
        <rFont val="ＭＳ Ｐゴシック"/>
        <family val="3"/>
        <charset val="128"/>
      </rPr>
      <t>φ</t>
    </r>
    <r>
      <rPr>
        <sz val="11"/>
        <rFont val="ＭＳ Ｐゴシック"/>
        <family val="3"/>
        <charset val="128"/>
      </rPr>
      <t>-R</t>
    </r>
    <phoneticPr fontId="3"/>
  </si>
  <si>
    <r>
      <t>User</t>
    </r>
    <r>
      <rPr>
        <sz val="11"/>
        <rFont val="ＭＳ Ｐゴシック"/>
        <family val="3"/>
        <charset val="128"/>
      </rPr>
      <t>-R</t>
    </r>
    <phoneticPr fontId="3"/>
  </si>
  <si>
    <r>
      <t>SC</t>
    </r>
    <r>
      <rPr>
        <sz val="8"/>
        <rFont val="ＭＳ Ｐゴシック"/>
        <family val="3"/>
        <charset val="128"/>
      </rPr>
      <t>S</t>
    </r>
    <phoneticPr fontId="3"/>
  </si>
  <si>
    <t>ｎφｎW-1</t>
    <phoneticPr fontId="3"/>
  </si>
  <si>
    <r>
      <t>R-</t>
    </r>
    <r>
      <rPr>
        <sz val="8"/>
        <rFont val="ＭＳ Ｐゴシック"/>
        <family val="3"/>
        <charset val="128"/>
      </rPr>
      <t>C1n</t>
    </r>
    <phoneticPr fontId="3"/>
  </si>
  <si>
    <r>
      <t>Ｒ-</t>
    </r>
    <r>
      <rPr>
        <sz val="8"/>
        <rFont val="ＭＳ Ｐゴシック"/>
        <family val="3"/>
        <charset val="128"/>
      </rPr>
      <t>ｎ２</t>
    </r>
    <phoneticPr fontId="3"/>
  </si>
  <si>
    <r>
      <t>Ｒ-</t>
    </r>
    <r>
      <rPr>
        <sz val="8"/>
        <rFont val="ＭＳ Ｐゴシック"/>
        <family val="3"/>
        <charset val="128"/>
      </rPr>
      <t>ｎ４</t>
    </r>
    <phoneticPr fontId="3"/>
  </si>
  <si>
    <r>
      <t>Ｒ</t>
    </r>
    <r>
      <rPr>
        <sz val="11"/>
        <rFont val="ＭＳ Ｐゴシック"/>
        <family val="3"/>
        <charset val="128"/>
      </rPr>
      <t>-</t>
    </r>
    <r>
      <rPr>
        <sz val="8"/>
        <rFont val="ＭＳ Ｐゴシック"/>
        <family val="3"/>
        <charset val="128"/>
      </rPr>
      <t>ACG</t>
    </r>
    <phoneticPr fontId="3"/>
  </si>
  <si>
    <r>
      <t>Ｒ-</t>
    </r>
    <r>
      <rPr>
        <sz val="8"/>
        <rFont val="ＭＳ Ｐゴシック"/>
        <family val="3"/>
        <charset val="128"/>
      </rPr>
      <t>０１</t>
    </r>
    <phoneticPr fontId="3"/>
  </si>
  <si>
    <r>
      <t>Ｅ-</t>
    </r>
    <r>
      <rPr>
        <sz val="8"/>
        <rFont val="ＭＳ Ｐゴシック"/>
        <family val="3"/>
        <charset val="128"/>
      </rPr>
      <t>Ｃｎ</t>
    </r>
    <phoneticPr fontId="3"/>
  </si>
  <si>
    <t>φ-G20</t>
    <phoneticPr fontId="3"/>
  </si>
  <si>
    <t>φ</t>
    <phoneticPr fontId="3"/>
  </si>
  <si>
    <t>W</t>
    <phoneticPr fontId="3"/>
  </si>
  <si>
    <t>V</t>
    <phoneticPr fontId="3"/>
  </si>
  <si>
    <t>負 荷　　電 流</t>
    <rPh sb="0" eb="3">
      <t>フカ</t>
    </rPh>
    <rPh sb="5" eb="8">
      <t>デンリュウ</t>
    </rPh>
    <phoneticPr fontId="3"/>
  </si>
  <si>
    <r>
      <t>Ｚ</t>
    </r>
    <r>
      <rPr>
        <sz val="6"/>
        <rFont val="ＭＳ Ｐゴシック"/>
        <family val="3"/>
        <charset val="128"/>
      </rPr>
      <t xml:space="preserve"> Ｌ</t>
    </r>
    <r>
      <rPr>
        <sz val="10"/>
        <rFont val="ＭＳ Ｐゴシック"/>
        <family val="3"/>
        <charset val="128"/>
      </rPr>
      <t xml:space="preserve"> </t>
    </r>
    <r>
      <rPr>
        <sz val="10"/>
        <rFont val="ＭＳ Ｐ明朝"/>
        <family val="1"/>
        <charset val="128"/>
      </rPr>
      <t>[Ω]</t>
    </r>
    <phoneticPr fontId="3"/>
  </si>
  <si>
    <r>
      <t>Ｅ</t>
    </r>
    <r>
      <rPr>
        <sz val="6"/>
        <rFont val="ＭＳ Ｐゴシック"/>
        <family val="3"/>
        <charset val="128"/>
      </rPr>
      <t>Ｌ</t>
    </r>
    <r>
      <rPr>
        <sz val="10"/>
        <rFont val="ＭＳ Ｐ明朝"/>
        <family val="1"/>
        <charset val="128"/>
      </rPr>
      <t>／</t>
    </r>
    <r>
      <rPr>
        <b/>
        <sz val="10"/>
        <rFont val="ＭＳ Ｐゴシック"/>
        <family val="3"/>
        <charset val="128"/>
      </rPr>
      <t>Ｅ</t>
    </r>
    <r>
      <rPr>
        <sz val="6"/>
        <rFont val="ＭＳ Ｐゴシック"/>
        <family val="3"/>
        <charset val="128"/>
      </rPr>
      <t>Ｓ</t>
    </r>
    <r>
      <rPr>
        <sz val="10"/>
        <rFont val="ＭＳ Ｐ明朝"/>
        <family val="1"/>
        <charset val="128"/>
      </rPr>
      <t>[％]</t>
    </r>
    <phoneticPr fontId="3"/>
  </si>
  <si>
    <r>
      <t>1φ</t>
    </r>
    <r>
      <rPr>
        <sz val="11"/>
        <rFont val="ＭＳ Ｐゴシック"/>
        <family val="3"/>
        <charset val="128"/>
      </rPr>
      <t>-X</t>
    </r>
    <phoneticPr fontId="3"/>
  </si>
  <si>
    <r>
      <t>User</t>
    </r>
    <r>
      <rPr>
        <sz val="11"/>
        <rFont val="ＭＳ Ｐゴシック"/>
        <family val="3"/>
        <charset val="128"/>
      </rPr>
      <t>-X</t>
    </r>
    <phoneticPr fontId="3"/>
  </si>
  <si>
    <r>
      <t>SC</t>
    </r>
    <r>
      <rPr>
        <sz val="8"/>
        <rFont val="ＭＳ Ｐゴシック"/>
        <family val="3"/>
        <charset val="128"/>
      </rPr>
      <t>Load</t>
    </r>
    <phoneticPr fontId="3"/>
  </si>
  <si>
    <t>ｎφｎW-2</t>
    <phoneticPr fontId="3"/>
  </si>
  <si>
    <r>
      <t>X-</t>
    </r>
    <r>
      <rPr>
        <sz val="8"/>
        <rFont val="ＭＳ Ｐゴシック"/>
        <family val="3"/>
        <charset val="128"/>
      </rPr>
      <t>C1n</t>
    </r>
    <phoneticPr fontId="3"/>
  </si>
  <si>
    <r>
      <t>Ｘ-</t>
    </r>
    <r>
      <rPr>
        <sz val="8"/>
        <rFont val="ＭＳ Ｐゴシック"/>
        <family val="3"/>
        <charset val="128"/>
      </rPr>
      <t>ｎ２</t>
    </r>
    <phoneticPr fontId="3"/>
  </si>
  <si>
    <r>
      <t>Ｘ-</t>
    </r>
    <r>
      <rPr>
        <sz val="8"/>
        <rFont val="ＭＳ Ｐゴシック"/>
        <family val="3"/>
        <charset val="128"/>
      </rPr>
      <t>ｎ４</t>
    </r>
    <phoneticPr fontId="3"/>
  </si>
  <si>
    <r>
      <t>X</t>
    </r>
    <r>
      <rPr>
        <sz val="11"/>
        <rFont val="ＭＳ Ｐゴシック"/>
        <family val="3"/>
        <charset val="128"/>
      </rPr>
      <t>-</t>
    </r>
    <r>
      <rPr>
        <sz val="8"/>
        <rFont val="ＭＳ Ｐゴシック"/>
        <family val="3"/>
        <charset val="128"/>
      </rPr>
      <t>ACG</t>
    </r>
    <phoneticPr fontId="3"/>
  </si>
  <si>
    <r>
      <t>Ｘ-</t>
    </r>
    <r>
      <rPr>
        <sz val="8"/>
        <rFont val="ＭＳ Ｐゴシック"/>
        <family val="3"/>
        <charset val="128"/>
      </rPr>
      <t>０１</t>
    </r>
    <phoneticPr fontId="3"/>
  </si>
  <si>
    <t>ｗ-Ｉ20</t>
    <phoneticPr fontId="3"/>
  </si>
  <si>
    <r>
      <t xml:space="preserve">％ </t>
    </r>
    <r>
      <rPr>
        <sz val="10"/>
        <rFont val="ＭＳ Ｐゴシック"/>
        <family val="3"/>
        <charset val="128"/>
      </rPr>
      <t>Ｚ</t>
    </r>
    <phoneticPr fontId="3"/>
  </si>
  <si>
    <r>
      <t>(</t>
    </r>
    <r>
      <rPr>
        <b/>
        <sz val="10"/>
        <rFont val="ＭＳ Ｐゴシック"/>
        <family val="3"/>
        <charset val="128"/>
      </rPr>
      <t>Ｅ</t>
    </r>
    <r>
      <rPr>
        <sz val="10"/>
        <rFont val="ＭＳ Ｐ明朝"/>
        <family val="1"/>
        <charset val="128"/>
      </rPr>
      <t>-</t>
    </r>
    <r>
      <rPr>
        <b/>
        <sz val="10"/>
        <rFont val="ＭＳ Ｐゴシック"/>
        <family val="3"/>
        <charset val="128"/>
      </rPr>
      <t>Ｅ</t>
    </r>
    <r>
      <rPr>
        <sz val="6"/>
        <rFont val="ＭＳ Ｐゴシック"/>
        <family val="3"/>
        <charset val="128"/>
      </rPr>
      <t>Ｌ</t>
    </r>
    <r>
      <rPr>
        <sz val="10"/>
        <rFont val="ＭＳ Ｐゴシック"/>
        <family val="3"/>
        <charset val="128"/>
      </rPr>
      <t>)</t>
    </r>
    <r>
      <rPr>
        <sz val="10"/>
        <rFont val="ＭＳ Ｐ明朝"/>
        <family val="1"/>
        <charset val="128"/>
      </rPr>
      <t>／</t>
    </r>
    <r>
      <rPr>
        <b/>
        <sz val="10"/>
        <rFont val="ＭＳ Ｐゴシック"/>
        <family val="3"/>
        <charset val="128"/>
      </rPr>
      <t>Ｅ</t>
    </r>
    <r>
      <rPr>
        <sz val="6"/>
        <rFont val="ＭＳ Ｐゴシック"/>
        <family val="3"/>
        <charset val="128"/>
      </rPr>
      <t>Ｓ</t>
    </r>
    <r>
      <rPr>
        <sz val="10"/>
        <rFont val="ＭＳ Ｐ明朝"/>
        <family val="1"/>
        <charset val="128"/>
      </rPr>
      <t>[％]</t>
    </r>
    <phoneticPr fontId="3"/>
  </si>
  <si>
    <r>
      <t>3</t>
    </r>
    <r>
      <rPr>
        <sz val="11"/>
        <rFont val="ＭＳ Ｐゴシック"/>
        <family val="3"/>
        <charset val="128"/>
      </rPr>
      <t>φ</t>
    </r>
    <r>
      <rPr>
        <sz val="11"/>
        <rFont val="ＭＳ Ｐゴシック"/>
        <family val="3"/>
        <charset val="128"/>
      </rPr>
      <t>-R</t>
    </r>
    <phoneticPr fontId="3"/>
  </si>
  <si>
    <r>
      <t>Ｒ-</t>
    </r>
    <r>
      <rPr>
        <sz val="8"/>
        <rFont val="ＭＳ Ｐゴシック"/>
        <family val="3"/>
        <charset val="128"/>
      </rPr>
      <t>ＴＲ</t>
    </r>
    <phoneticPr fontId="3"/>
  </si>
  <si>
    <r>
      <t>Ｒ-</t>
    </r>
    <r>
      <rPr>
        <sz val="8"/>
        <rFont val="ＭＳ Ｐゴシック"/>
        <family val="3"/>
        <charset val="128"/>
      </rPr>
      <t>ｎ１</t>
    </r>
    <phoneticPr fontId="3"/>
  </si>
  <si>
    <r>
      <t>Ｒ-</t>
    </r>
    <r>
      <rPr>
        <sz val="8"/>
        <rFont val="ＭＳ Ｐゴシック"/>
        <family val="3"/>
        <charset val="128"/>
      </rPr>
      <t>ｎ１’</t>
    </r>
    <phoneticPr fontId="3"/>
  </si>
  <si>
    <r>
      <t>R-</t>
    </r>
    <r>
      <rPr>
        <sz val="8"/>
        <rFont val="ＭＳ Ｐゴシック"/>
        <family val="3"/>
        <charset val="128"/>
      </rPr>
      <t>C2n</t>
    </r>
    <phoneticPr fontId="3"/>
  </si>
  <si>
    <r>
      <t>Ｒ-</t>
    </r>
    <r>
      <rPr>
        <sz val="8"/>
        <rFont val="ＭＳ Ｐゴシック"/>
        <family val="3"/>
        <charset val="128"/>
      </rPr>
      <t>ｎ３</t>
    </r>
    <phoneticPr fontId="3"/>
  </si>
  <si>
    <r>
      <t>Ｒ-</t>
    </r>
    <r>
      <rPr>
        <sz val="8"/>
        <rFont val="ＭＳ Ｐゴシック"/>
        <family val="3"/>
        <charset val="128"/>
      </rPr>
      <t>ｎ４</t>
    </r>
    <r>
      <rPr>
        <sz val="10"/>
        <rFont val="ＭＳ Ｐゴシック"/>
        <family val="3"/>
        <charset val="128"/>
      </rPr>
      <t>’</t>
    </r>
    <phoneticPr fontId="3"/>
  </si>
  <si>
    <r>
      <t>Ｒ-</t>
    </r>
    <r>
      <rPr>
        <sz val="8"/>
        <rFont val="ＭＳ Ｐゴシック"/>
        <family val="3"/>
        <charset val="128"/>
      </rPr>
      <t>０２</t>
    </r>
    <phoneticPr fontId="3"/>
  </si>
  <si>
    <r>
      <t>Ｅ</t>
    </r>
    <r>
      <rPr>
        <sz val="8"/>
        <rFont val="ＭＳ Ｐゴシック"/>
        <family val="3"/>
        <charset val="128"/>
      </rPr>
      <t>S</t>
    </r>
    <phoneticPr fontId="3"/>
  </si>
  <si>
    <t>Ｅ-K20</t>
    <phoneticPr fontId="3"/>
  </si>
  <si>
    <t>-ＡＦ</t>
    <phoneticPr fontId="3"/>
  </si>
  <si>
    <r>
      <t>3</t>
    </r>
    <r>
      <rPr>
        <sz val="11"/>
        <rFont val="ＭＳ Ｐゴシック"/>
        <family val="3"/>
        <charset val="128"/>
      </rPr>
      <t>φ</t>
    </r>
    <r>
      <rPr>
        <sz val="11"/>
        <rFont val="ＭＳ Ｐゴシック"/>
        <family val="3"/>
        <charset val="128"/>
      </rPr>
      <t>-X</t>
    </r>
    <phoneticPr fontId="3"/>
  </si>
  <si>
    <r>
      <t>Ｘ-</t>
    </r>
    <r>
      <rPr>
        <sz val="8"/>
        <rFont val="ＭＳ Ｐゴシック"/>
        <family val="3"/>
        <charset val="128"/>
      </rPr>
      <t>ＴＲ</t>
    </r>
    <phoneticPr fontId="3"/>
  </si>
  <si>
    <r>
      <t>Ｘ-</t>
    </r>
    <r>
      <rPr>
        <sz val="8"/>
        <rFont val="ＭＳ Ｐゴシック"/>
        <family val="3"/>
        <charset val="128"/>
      </rPr>
      <t>ｎ１</t>
    </r>
    <phoneticPr fontId="3"/>
  </si>
  <si>
    <r>
      <t>Ｘ-</t>
    </r>
    <r>
      <rPr>
        <sz val="8"/>
        <rFont val="ＭＳ Ｐゴシック"/>
        <family val="3"/>
        <charset val="128"/>
      </rPr>
      <t>ｎ１’</t>
    </r>
    <phoneticPr fontId="3"/>
  </si>
  <si>
    <r>
      <t>X-</t>
    </r>
    <r>
      <rPr>
        <sz val="8"/>
        <rFont val="ＭＳ Ｐゴシック"/>
        <family val="3"/>
        <charset val="128"/>
      </rPr>
      <t>C2n</t>
    </r>
    <phoneticPr fontId="3"/>
  </si>
  <si>
    <r>
      <t>Ｘ-</t>
    </r>
    <r>
      <rPr>
        <sz val="8"/>
        <rFont val="ＭＳ Ｐゴシック"/>
        <family val="3"/>
        <charset val="128"/>
      </rPr>
      <t>ｎ３</t>
    </r>
    <phoneticPr fontId="3"/>
  </si>
  <si>
    <r>
      <t>Ｘ-</t>
    </r>
    <r>
      <rPr>
        <sz val="8"/>
        <rFont val="ＭＳ Ｐゴシック"/>
        <family val="3"/>
        <charset val="128"/>
      </rPr>
      <t>ｎ４</t>
    </r>
    <r>
      <rPr>
        <sz val="10"/>
        <rFont val="ＭＳ Ｐゴシック"/>
        <family val="3"/>
        <charset val="128"/>
      </rPr>
      <t>’</t>
    </r>
    <phoneticPr fontId="3"/>
  </si>
  <si>
    <r>
      <t>Ｘ-</t>
    </r>
    <r>
      <rPr>
        <sz val="8"/>
        <rFont val="ＭＳ Ｐゴシック"/>
        <family val="3"/>
        <charset val="128"/>
      </rPr>
      <t>０２</t>
    </r>
    <phoneticPr fontId="3"/>
  </si>
  <si>
    <t>Hz-G22</t>
    <phoneticPr fontId="3"/>
  </si>
  <si>
    <r>
      <t xml:space="preserve"> </t>
    </r>
    <r>
      <rPr>
        <b/>
        <sz val="11"/>
        <rFont val="Arial Black"/>
        <family val="2"/>
      </rPr>
      <t>ESE</t>
    </r>
    <r>
      <rPr>
        <b/>
        <sz val="11"/>
        <rFont val="ＭＳ ゴシック"/>
        <family val="3"/>
        <charset val="128"/>
      </rPr>
      <t>-VD4</t>
    </r>
    <r>
      <rPr>
        <b/>
        <sz val="10"/>
        <rFont val="ＭＳ ゴシック"/>
        <family val="3"/>
        <charset val="128"/>
      </rPr>
      <t xml:space="preserve">
　　 </t>
    </r>
    <r>
      <rPr>
        <b/>
        <sz val="12"/>
        <rFont val="ＭＳ Ｐ明朝"/>
        <family val="1"/>
        <charset val="128"/>
      </rPr>
      <t>交　流　回　路　解　析　計　算</t>
    </r>
    <rPh sb="12" eb="13">
      <t>コウ</t>
    </rPh>
    <rPh sb="14" eb="15">
      <t>ナガレ</t>
    </rPh>
    <rPh sb="16" eb="17">
      <t>カイ</t>
    </rPh>
    <rPh sb="18" eb="19">
      <t>ミチ</t>
    </rPh>
    <rPh sb="20" eb="21">
      <t>カイ</t>
    </rPh>
    <rPh sb="22" eb="23">
      <t>セキ</t>
    </rPh>
    <rPh sb="24" eb="25">
      <t>ケイ</t>
    </rPh>
    <rPh sb="26" eb="27">
      <t>サン</t>
    </rPh>
    <phoneticPr fontId="3"/>
  </si>
  <si>
    <t>.</t>
    <phoneticPr fontId="33"/>
  </si>
  <si>
    <t>ドロップダウン・リスト</t>
    <phoneticPr fontId="33"/>
  </si>
  <si>
    <t>屋内CB 低圧照明盤
幹線No.[L1]
MCCB 3P-225/200
分電盤 Ｌ-１</t>
    <rPh sb="5" eb="7">
      <t>テイアツ</t>
    </rPh>
    <rPh sb="7" eb="9">
      <t>ショウメイ</t>
    </rPh>
    <rPh sb="9" eb="10">
      <t>バン</t>
    </rPh>
    <rPh sb="11" eb="13">
      <t>カンセン</t>
    </rPh>
    <rPh sb="37" eb="40">
      <t>ブンデンバン</t>
    </rPh>
    <phoneticPr fontId="23"/>
  </si>
  <si>
    <t>油入自冷</t>
  </si>
  <si>
    <t xml:space="preserve"> 需要電力</t>
    <rPh sb="1" eb="3">
      <t>ジュヨウ</t>
    </rPh>
    <rPh sb="3" eb="5">
      <t>デンリョク</t>
    </rPh>
    <phoneticPr fontId="33"/>
  </si>
  <si>
    <t>600V CV-T</t>
  </si>
  <si>
    <t>MCCB-3P</t>
  </si>
  <si>
    <t>225</t>
  </si>
  <si>
    <t>200</t>
    <phoneticPr fontId="33"/>
  </si>
  <si>
    <t>屋内CB 低圧照明盤
幹線No.[L2]
MCCB 3P-225/175
分電盤 Ｌ-２</t>
    <rPh sb="5" eb="7">
      <t>テイアツ</t>
    </rPh>
    <rPh sb="7" eb="9">
      <t>ショウメイ</t>
    </rPh>
    <rPh sb="9" eb="10">
      <t>バン</t>
    </rPh>
    <rPh sb="11" eb="13">
      <t>カンセン</t>
    </rPh>
    <rPh sb="37" eb="40">
      <t>ブンデンバン</t>
    </rPh>
    <phoneticPr fontId="23"/>
  </si>
  <si>
    <t>225</t>
    <phoneticPr fontId="33"/>
  </si>
  <si>
    <t>175</t>
    <phoneticPr fontId="33"/>
  </si>
  <si>
    <t>屋内CB 低圧照明盤
幹線No.[L3]
MCCB 3P-100/100
分電盤 Ｌ-３</t>
    <rPh sb="5" eb="7">
      <t>テイアツ</t>
    </rPh>
    <rPh sb="7" eb="9">
      <t>ショウメイ</t>
    </rPh>
    <rPh sb="9" eb="10">
      <t>バン</t>
    </rPh>
    <rPh sb="11" eb="13">
      <t>カンセン</t>
    </rPh>
    <rPh sb="37" eb="40">
      <t>ブンデンバン</t>
    </rPh>
    <phoneticPr fontId="23"/>
  </si>
  <si>
    <t xml:space="preserve"> Ｌ-１</t>
    <phoneticPr fontId="33"/>
  </si>
  <si>
    <t xml:space="preserve"> Ｌ-２</t>
    <phoneticPr fontId="33"/>
  </si>
  <si>
    <t xml:space="preserve"> Ｌ-３</t>
    <phoneticPr fontId="33"/>
  </si>
  <si>
    <t>100</t>
    <phoneticPr fontId="33"/>
  </si>
  <si>
    <t>100</t>
    <phoneticPr fontId="33"/>
  </si>
  <si>
    <t>屋内CB 低圧照明盤
幹線No.[L5]
MCCB 3P-225/125
分電盤 ＬＭ-２</t>
    <rPh sb="5" eb="7">
      <t>テイアツ</t>
    </rPh>
    <rPh sb="7" eb="9">
      <t>ショウメイ</t>
    </rPh>
    <rPh sb="9" eb="10">
      <t>バン</t>
    </rPh>
    <rPh sb="11" eb="13">
      <t>カンセン</t>
    </rPh>
    <rPh sb="37" eb="40">
      <t>ブンデンバン</t>
    </rPh>
    <phoneticPr fontId="23"/>
  </si>
  <si>
    <t xml:space="preserve"> ＬＭ-２</t>
    <phoneticPr fontId="33"/>
  </si>
  <si>
    <t>225</t>
    <phoneticPr fontId="33"/>
  </si>
  <si>
    <t>125</t>
    <phoneticPr fontId="33"/>
  </si>
  <si>
    <t>①</t>
    <phoneticPr fontId="93"/>
  </si>
  <si>
    <t>③</t>
    <phoneticPr fontId="3"/>
  </si>
  <si>
    <t>②</t>
    <phoneticPr fontId="93"/>
  </si>
</sst>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176" formatCode="0_);[Red]\(0\)"/>
    <numFmt numFmtId="177" formatCode="0;[Red]0"/>
    <numFmt numFmtId="178" formatCode="0_ ;[Red]\-0\ "/>
    <numFmt numFmtId="179" formatCode="0.00;[Red]0.00"/>
    <numFmt numFmtId="180" formatCode="0.000;[Red]0.000"/>
    <numFmt numFmtId="181" formatCode="####&quot;[℃]&quot;"/>
    <numFmt numFmtId="182" formatCode="0.0000;[Red]0.0000"/>
    <numFmt numFmtId="183" formatCode="0.0;[Red]0.0"/>
    <numFmt numFmtId="184" formatCode="0.0000_ ;[Red]\-0.0000\ "/>
    <numFmt numFmtId="185" formatCode="0.000_ ;[Red]\-0.000\ "/>
    <numFmt numFmtId="186" formatCode="#.#0\ &quot;[Hz]&quot;"/>
    <numFmt numFmtId="187" formatCode="#.#0\ \ &quot;[KVA]&quot;"/>
    <numFmt numFmtId="188" formatCode="0.0000\ &quot;[mΩ]&quot;"/>
    <numFmt numFmtId="189" formatCode="0.0&quot;[m]&quot;"/>
    <numFmt numFmtId="190" formatCode="0\ &quot;[A] &quot;"/>
    <numFmt numFmtId="191" formatCode="#.#\ &quot;[A]　&quot;"/>
    <numFmt numFmtId="192" formatCode="#.#0\ &quot;[A]　&quot;"/>
    <numFmt numFmtId="193" formatCode="###.#0\ &quot;[℃]&quot;;[Red]\-###.#0\ &quot;[℃]&quot;"/>
    <numFmt numFmtId="194" formatCode="#.#0\ &quot;[V]　&quot;"/>
    <numFmt numFmtId="195" formatCode="0.###0\ &quot;[％]&quot;"/>
    <numFmt numFmtId="196" formatCode="0.###0\ &quot;+ j&quot;"/>
    <numFmt numFmtId="197" formatCode="0.0000\ &quot;[Ω] &quot;"/>
    <numFmt numFmtId="198" formatCode="0.00_ "/>
    <numFmt numFmtId="199" formatCode="0.0000_ "/>
    <numFmt numFmtId="200" formatCode="0.0_ ;[Red]\-0.0\ "/>
    <numFmt numFmtId="201" formatCode="0.00000;[Red]0.00000"/>
    <numFmt numFmtId="202" formatCode="0.00_ ;[Red]\-0.00\ "/>
    <numFmt numFmtId="203" formatCode="0.00_);[Red]\(0.00\)"/>
    <numFmt numFmtId="204" formatCode="0.0000_);[Red]\(0.0000\)"/>
    <numFmt numFmtId="205" formatCode="0.000_);[Red]\(0.000\)"/>
  </numFmts>
  <fonts count="125" x14ac:knownFonts="1">
    <font>
      <sz val="11"/>
      <name val="ＭＳ 明朝"/>
      <family val="1"/>
      <charset val="128"/>
    </font>
    <font>
      <u/>
      <sz val="11"/>
      <color indexed="12"/>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b/>
      <sz val="9"/>
      <name val="ＭＳ Ｐゴシック"/>
      <family val="3"/>
      <charset val="128"/>
    </font>
    <font>
      <sz val="9"/>
      <name val="ＭＳ Ｐ明朝"/>
      <family val="1"/>
      <charset val="128"/>
    </font>
    <font>
      <sz val="10"/>
      <name val="ＭＳ Ｐ明朝"/>
      <family val="1"/>
      <charset val="128"/>
    </font>
    <font>
      <sz val="6"/>
      <name val="ＭＳ Ｐ明朝"/>
      <family val="1"/>
      <charset val="128"/>
    </font>
    <font>
      <b/>
      <sz val="10"/>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b/>
      <sz val="10"/>
      <name val="ＭＳ Ｐ明朝"/>
      <family val="1"/>
      <charset val="128"/>
    </font>
    <font>
      <b/>
      <sz val="9"/>
      <name val="ＭＳ Ｐ明朝"/>
      <family val="1"/>
      <charset val="128"/>
    </font>
    <font>
      <sz val="10"/>
      <name val="ＭＳ ゴシック"/>
      <family val="3"/>
      <charset val="128"/>
    </font>
    <font>
      <sz val="10"/>
      <color indexed="12"/>
      <name val="ＭＳ Ｐゴシック"/>
      <family val="3"/>
      <charset val="128"/>
    </font>
    <font>
      <sz val="10"/>
      <color indexed="12"/>
      <name val="ＭＳ ゴシック"/>
      <family val="3"/>
      <charset val="128"/>
    </font>
    <font>
      <sz val="9"/>
      <color indexed="12"/>
      <name val="ＭＳ Ｐゴシック"/>
      <family val="3"/>
      <charset val="128"/>
    </font>
    <font>
      <sz val="10"/>
      <color indexed="12"/>
      <name val="ＭＳ 明朝"/>
      <family val="1"/>
      <charset val="128"/>
    </font>
    <font>
      <sz val="10"/>
      <color indexed="12"/>
      <name val="ＭＳ Ｐ明朝"/>
      <family val="1"/>
      <charset val="128"/>
    </font>
    <font>
      <b/>
      <sz val="11"/>
      <name val="ＭＳ Ｐゴシック"/>
      <family val="3"/>
      <charset val="128"/>
    </font>
    <font>
      <sz val="6"/>
      <name val="ＭＳ 明朝"/>
      <family val="1"/>
      <charset val="128"/>
    </font>
    <font>
      <b/>
      <sz val="10"/>
      <color indexed="10"/>
      <name val="ＭＳ Ｐゴシック"/>
      <family val="3"/>
      <charset val="128"/>
    </font>
    <font>
      <b/>
      <sz val="10"/>
      <color indexed="12"/>
      <name val="ＭＳ Ｐゴシック"/>
      <family val="3"/>
      <charset val="128"/>
    </font>
    <font>
      <sz val="8"/>
      <color indexed="12"/>
      <name val="ＭＳ Ｐゴシック"/>
      <family val="3"/>
      <charset val="128"/>
    </font>
    <font>
      <b/>
      <sz val="11"/>
      <color indexed="12"/>
      <name val="ＭＳ Ｐゴシック"/>
      <family val="3"/>
      <charset val="128"/>
    </font>
    <font>
      <b/>
      <sz val="11"/>
      <color indexed="14"/>
      <name val="ＭＳ Ｐゴシック"/>
      <family val="3"/>
      <charset val="128"/>
    </font>
    <font>
      <b/>
      <sz val="14"/>
      <color indexed="81"/>
      <name val="ＭＳ Ｐゴシック"/>
      <family val="3"/>
      <charset val="128"/>
    </font>
    <font>
      <b/>
      <sz val="10"/>
      <color indexed="81"/>
      <name val="ＭＳ Ｐゴシック"/>
      <family val="3"/>
      <charset val="128"/>
    </font>
    <font>
      <b/>
      <sz val="10"/>
      <color indexed="14"/>
      <name val="ＭＳ Ｐゴシック"/>
      <family val="3"/>
      <charset val="128"/>
    </font>
    <font>
      <b/>
      <sz val="14"/>
      <color indexed="12"/>
      <name val="ＭＳ Ｐゴシック"/>
      <family val="3"/>
      <charset val="128"/>
    </font>
    <font>
      <b/>
      <vertAlign val="superscript"/>
      <sz val="16"/>
      <name val="ＭＳ Ｐゴシック"/>
      <family val="3"/>
      <charset val="128"/>
    </font>
    <font>
      <b/>
      <sz val="20"/>
      <color indexed="12"/>
      <name val="ＭＳ 明朝"/>
      <family val="1"/>
      <charset val="128"/>
    </font>
    <font>
      <b/>
      <sz val="16"/>
      <color indexed="12"/>
      <name val="ＭＳ 明朝"/>
      <family val="1"/>
      <charset val="128"/>
    </font>
    <font>
      <sz val="11"/>
      <color indexed="81"/>
      <name val="ＭＳ 明朝"/>
      <family val="1"/>
      <charset val="128"/>
    </font>
    <font>
      <sz val="11"/>
      <color indexed="81"/>
      <name val="ＭＳ Ｐゴシック"/>
      <family val="3"/>
      <charset val="128"/>
    </font>
    <font>
      <sz val="16"/>
      <color indexed="47"/>
      <name val="ＭＳ Ｐゴシック"/>
      <family val="3"/>
      <charset val="128"/>
    </font>
    <font>
      <sz val="16"/>
      <color indexed="44"/>
      <name val="ＭＳ Ｐゴシック"/>
      <family val="3"/>
      <charset val="128"/>
    </font>
    <font>
      <sz val="16"/>
      <color indexed="26"/>
      <name val="ＭＳ Ｐゴシック"/>
      <family val="3"/>
      <charset val="128"/>
    </font>
    <font>
      <sz val="11"/>
      <color indexed="43"/>
      <name val="ＭＳ Ｐゴシック"/>
      <family val="3"/>
      <charset val="128"/>
    </font>
    <font>
      <sz val="16"/>
      <color indexed="43"/>
      <name val="ＭＳ Ｐゴシック"/>
      <family val="3"/>
      <charset val="128"/>
    </font>
    <font>
      <sz val="10"/>
      <color indexed="81"/>
      <name val="ＭＳ Ｐゴシック"/>
      <family val="3"/>
      <charset val="128"/>
    </font>
    <font>
      <sz val="16"/>
      <color indexed="9"/>
      <name val="ＭＳ Ｐゴシック"/>
      <family val="3"/>
      <charset val="128"/>
    </font>
    <font>
      <b/>
      <sz val="16"/>
      <color indexed="81"/>
      <name val="ＭＳ Ｐゴシック"/>
      <family val="3"/>
      <charset val="128"/>
    </font>
    <font>
      <b/>
      <sz val="11"/>
      <color indexed="81"/>
      <name val="ＭＳ Ｐゴシック"/>
      <family val="3"/>
      <charset val="128"/>
    </font>
    <font>
      <b/>
      <sz val="11"/>
      <color indexed="10"/>
      <name val="ＭＳ Ｐゴシック"/>
      <family val="3"/>
      <charset val="128"/>
    </font>
    <font>
      <b/>
      <sz val="9"/>
      <color indexed="81"/>
      <name val="ＭＳ Ｐゴシック"/>
      <family val="3"/>
      <charset val="128"/>
    </font>
    <font>
      <b/>
      <sz val="2"/>
      <color indexed="81"/>
      <name val="ＭＳ Ｐゴシック"/>
      <family val="3"/>
      <charset val="128"/>
    </font>
    <font>
      <sz val="10"/>
      <color indexed="14"/>
      <name val="ＭＳ Ｐゴシック"/>
      <family val="3"/>
      <charset val="128"/>
    </font>
    <font>
      <sz val="10"/>
      <color indexed="10"/>
      <name val="ＭＳ Ｐゴシック"/>
      <family val="3"/>
      <charset val="128"/>
    </font>
    <font>
      <b/>
      <sz val="9"/>
      <color indexed="81"/>
      <name val="ＭＳ ゴシック"/>
      <family val="3"/>
      <charset val="128"/>
    </font>
    <font>
      <b/>
      <sz val="9"/>
      <color indexed="55"/>
      <name val="ＭＳ ゴシック"/>
      <family val="3"/>
      <charset val="128"/>
    </font>
    <font>
      <sz val="9"/>
      <color indexed="81"/>
      <name val="ＭＳ Ｐゴシック"/>
      <family val="3"/>
      <charset val="128"/>
    </font>
    <font>
      <sz val="16"/>
      <color indexed="81"/>
      <name val="ＭＳ Ｐゴシック"/>
      <family val="3"/>
      <charset val="128"/>
    </font>
    <font>
      <sz val="10"/>
      <color indexed="81"/>
      <name val="ＭＳ ゴシック"/>
      <family val="3"/>
      <charset val="128"/>
    </font>
    <font>
      <b/>
      <sz val="11"/>
      <name val="ＭＳ Ｐ明朝"/>
      <family val="1"/>
      <charset val="128"/>
    </font>
    <font>
      <sz val="11"/>
      <name val="ＭＳ Ｐ明朝"/>
      <family val="1"/>
      <charset val="128"/>
    </font>
    <font>
      <sz val="16"/>
      <color indexed="8"/>
      <name val="ＭＳ Ｐゴシック"/>
      <family val="3"/>
      <charset val="128"/>
    </font>
    <font>
      <b/>
      <sz val="11"/>
      <color indexed="8"/>
      <name val="ＭＳ Ｐゴシック"/>
      <family val="3"/>
      <charset val="128"/>
    </font>
    <font>
      <sz val="10"/>
      <color indexed="8"/>
      <name val="ＭＳ ゴシック"/>
      <family val="3"/>
      <charset val="128"/>
    </font>
    <font>
      <b/>
      <sz val="10"/>
      <color indexed="12"/>
      <name val="ＭＳ Ｐ明朝"/>
      <family val="1"/>
      <charset val="128"/>
    </font>
    <font>
      <b/>
      <sz val="16"/>
      <color indexed="10"/>
      <name val="ＭＳ Ｐゴシック"/>
      <family val="3"/>
      <charset val="128"/>
    </font>
    <font>
      <b/>
      <sz val="14"/>
      <color indexed="10"/>
      <name val="ＭＳ Ｐゴシック"/>
      <family val="3"/>
      <charset val="128"/>
    </font>
    <font>
      <b/>
      <sz val="11"/>
      <color indexed="10"/>
      <name val="ＭＳ ゴシック"/>
      <family val="3"/>
      <charset val="128"/>
    </font>
    <font>
      <sz val="11"/>
      <color indexed="8"/>
      <name val="ＭＳ Ｐゴシック"/>
      <family val="3"/>
      <charset val="128"/>
    </font>
    <font>
      <sz val="11"/>
      <color indexed="81"/>
      <name val="ＭＳ ゴシック"/>
      <family val="3"/>
      <charset val="128"/>
    </font>
    <font>
      <b/>
      <sz val="11"/>
      <color indexed="12"/>
      <name val="ＭＳ ゴシック"/>
      <family val="3"/>
      <charset val="128"/>
    </font>
    <font>
      <sz val="11"/>
      <color indexed="12"/>
      <name val="ＭＳ ゴシック"/>
      <family val="3"/>
      <charset val="128"/>
    </font>
    <font>
      <sz val="16"/>
      <color indexed="10"/>
      <name val="ＭＳ Ｐゴシック"/>
      <family val="3"/>
      <charset val="128"/>
    </font>
    <font>
      <sz val="11"/>
      <color indexed="14"/>
      <name val="ＭＳ Ｐゴシック"/>
      <family val="3"/>
      <charset val="128"/>
    </font>
    <font>
      <sz val="18"/>
      <color indexed="81"/>
      <name val="ＭＳ Ｐゴシック"/>
      <family val="3"/>
      <charset val="128"/>
    </font>
    <font>
      <sz val="14"/>
      <color indexed="81"/>
      <name val="ＭＳ Ｐゴシック"/>
      <family val="3"/>
      <charset val="128"/>
    </font>
    <font>
      <sz val="9"/>
      <color indexed="14"/>
      <name val="ＭＳ Ｐゴシック"/>
      <family val="3"/>
      <charset val="128"/>
    </font>
    <font>
      <b/>
      <sz val="12"/>
      <color indexed="10"/>
      <name val="ＭＳ Ｐゴシック"/>
      <family val="3"/>
      <charset val="128"/>
    </font>
    <font>
      <sz val="14"/>
      <color indexed="10"/>
      <name val="ＭＳ Ｐゴシック"/>
      <family val="3"/>
      <charset val="128"/>
    </font>
    <font>
      <sz val="9"/>
      <color indexed="10"/>
      <name val="ＭＳ Ｐゴシック"/>
      <family val="3"/>
      <charset val="128"/>
    </font>
    <font>
      <sz val="18"/>
      <color indexed="10"/>
      <name val="ＭＳ Ｐゴシック"/>
      <family val="3"/>
      <charset val="128"/>
    </font>
    <font>
      <sz val="18"/>
      <color indexed="8"/>
      <name val="ＭＳ ゴシック"/>
      <family val="3"/>
      <charset val="128"/>
    </font>
    <font>
      <sz val="9"/>
      <color indexed="12"/>
      <name val="ＭＳ ゴシック"/>
      <family val="3"/>
      <charset val="128"/>
    </font>
    <font>
      <b/>
      <sz val="9"/>
      <color indexed="12"/>
      <name val="ＭＳ Ｐゴシック"/>
      <family val="3"/>
      <charset val="128"/>
    </font>
    <font>
      <b/>
      <sz val="1"/>
      <color indexed="81"/>
      <name val="ＭＳ Ｐゴシック"/>
      <family val="3"/>
      <charset val="128"/>
    </font>
    <font>
      <sz val="16"/>
      <color indexed="81"/>
      <name val="ＭＳ ゴシック"/>
      <family val="3"/>
      <charset val="128"/>
    </font>
    <font>
      <sz val="18"/>
      <color indexed="14"/>
      <name val="ＭＳ Ｐゴシック"/>
      <family val="3"/>
      <charset val="128"/>
    </font>
    <font>
      <b/>
      <sz val="16"/>
      <color indexed="12"/>
      <name val="ＭＳ ゴシック"/>
      <family val="3"/>
      <charset val="128"/>
    </font>
    <font>
      <b/>
      <sz val="12"/>
      <color indexed="12"/>
      <name val="ＭＳ Ｐゴシック"/>
      <family val="3"/>
      <charset val="128"/>
    </font>
    <font>
      <b/>
      <sz val="16"/>
      <color indexed="12"/>
      <name val="ＭＳ Ｐゴシック"/>
      <family val="3"/>
      <charset val="128"/>
    </font>
    <font>
      <b/>
      <sz val="8"/>
      <color indexed="12"/>
      <name val="ＭＳ Ｐゴシック"/>
      <family val="3"/>
      <charset val="128"/>
    </font>
    <font>
      <b/>
      <sz val="18"/>
      <color indexed="12"/>
      <name val="ＭＳ Ｐゴシック"/>
      <family val="3"/>
      <charset val="128"/>
    </font>
    <font>
      <b/>
      <sz val="16"/>
      <color indexed="10"/>
      <name val="ＭＳ 明朝"/>
      <family val="1"/>
      <charset val="128"/>
    </font>
    <font>
      <b/>
      <sz val="16"/>
      <color indexed="10"/>
      <name val="ＭＳ Ｐ明朝"/>
      <family val="1"/>
      <charset val="128"/>
    </font>
    <font>
      <b/>
      <sz val="11"/>
      <color indexed="12"/>
      <name val="ＭＳ Ｐ明朝"/>
      <family val="1"/>
      <charset val="128"/>
    </font>
    <font>
      <sz val="12"/>
      <name val="ＭＳ Ｐゴシック"/>
      <family val="3"/>
      <charset val="128"/>
    </font>
    <font>
      <sz val="11"/>
      <color indexed="81"/>
      <name val="ＭＳ Ｐ明朝"/>
      <family val="1"/>
      <charset val="128"/>
    </font>
    <font>
      <sz val="11"/>
      <color indexed="10"/>
      <name val="ＭＳ Ｐ明朝"/>
      <family val="1"/>
      <charset val="128"/>
    </font>
    <font>
      <sz val="12"/>
      <name val="ＭＳ 明朝"/>
      <family val="1"/>
      <charset val="128"/>
    </font>
    <font>
      <sz val="14"/>
      <name val="ＭＳ Ｐゴシック"/>
      <family val="3"/>
      <charset val="128"/>
    </font>
    <font>
      <sz val="12"/>
      <color indexed="12"/>
      <name val="ＭＳ Ｐゴシック"/>
      <family val="3"/>
      <charset val="128"/>
    </font>
    <font>
      <sz val="11"/>
      <color indexed="10"/>
      <name val="ＭＳ Ｐゴシック"/>
      <family val="3"/>
      <charset val="128"/>
    </font>
    <font>
      <sz val="11"/>
      <color indexed="12"/>
      <name val="ＭＳ Ｐゴシック"/>
      <family val="3"/>
      <charset val="128"/>
    </font>
    <font>
      <sz val="2"/>
      <color indexed="10"/>
      <name val="ＭＳ Ｐゴシック"/>
      <family val="3"/>
      <charset val="128"/>
    </font>
    <font>
      <sz val="3"/>
      <color indexed="10"/>
      <name val="ＭＳ Ｐゴシック"/>
      <family val="3"/>
      <charset val="128"/>
    </font>
    <font>
      <b/>
      <sz val="20"/>
      <color indexed="81"/>
      <name val="ＭＳ Ｐゴシック"/>
      <family val="3"/>
      <charset val="128"/>
    </font>
    <font>
      <b/>
      <sz val="20"/>
      <color indexed="10"/>
      <name val="ＭＳ Ｐゴシック"/>
      <family val="3"/>
      <charset val="128"/>
    </font>
    <font>
      <sz val="11"/>
      <color indexed="54"/>
      <name val="ＭＳ 明朝"/>
      <family val="1"/>
      <charset val="128"/>
    </font>
    <font>
      <b/>
      <sz val="16"/>
      <color indexed="12"/>
      <name val="ＭＳ Ｐ明朝"/>
      <family val="1"/>
      <charset val="128"/>
    </font>
    <font>
      <b/>
      <sz val="11"/>
      <name val="ＭＳ 明朝"/>
      <family val="1"/>
      <charset val="128"/>
    </font>
    <font>
      <sz val="1"/>
      <color indexed="55"/>
      <name val="ＭＳ Ｐゴシック"/>
      <family val="3"/>
      <charset val="128"/>
    </font>
    <font>
      <sz val="11"/>
      <color indexed="55"/>
      <name val="ＭＳ Ｐゴシック"/>
      <family val="3"/>
      <charset val="128"/>
    </font>
    <font>
      <b/>
      <sz val="12"/>
      <color indexed="10"/>
      <name val="Times New Roman"/>
      <family val="1"/>
    </font>
    <font>
      <b/>
      <sz val="12"/>
      <color indexed="10"/>
      <name val="ＭＳ Ｐ明朝"/>
      <family val="1"/>
      <charset val="128"/>
    </font>
    <font>
      <b/>
      <sz val="12"/>
      <name val="ＭＳ Ｐ明朝"/>
      <family val="1"/>
      <charset val="128"/>
    </font>
    <font>
      <sz val="12"/>
      <color indexed="9"/>
      <name val="ＭＳ Ｐゴシック"/>
      <family val="3"/>
      <charset val="128"/>
    </font>
    <font>
      <sz val="12"/>
      <color indexed="9"/>
      <name val="ＭＳ Ｐ明朝"/>
      <family val="1"/>
      <charset val="128"/>
    </font>
    <font>
      <sz val="8"/>
      <name val="ＭＳ Ｐゴシック"/>
      <family val="3"/>
      <charset val="128"/>
    </font>
    <font>
      <b/>
      <sz val="11"/>
      <name val="Arial Black"/>
      <family val="2"/>
    </font>
    <font>
      <b/>
      <sz val="11"/>
      <name val="ＭＳ ゴシック"/>
      <family val="3"/>
      <charset val="128"/>
    </font>
    <font>
      <b/>
      <sz val="10"/>
      <name val="ＭＳ ゴシック"/>
      <family val="3"/>
      <charset val="128"/>
    </font>
    <font>
      <b/>
      <sz val="14"/>
      <name val="ＭＳ ゴシック"/>
      <family val="3"/>
      <charset val="128"/>
    </font>
    <font>
      <b/>
      <i/>
      <sz val="12"/>
      <name val="ＭＳ 明朝"/>
      <family val="1"/>
      <charset val="128"/>
    </font>
    <font>
      <b/>
      <sz val="14"/>
      <name val="Times New Roman"/>
      <family val="1"/>
    </font>
    <font>
      <b/>
      <sz val="8"/>
      <name val="ＭＳ Ｐ明朝"/>
      <family val="1"/>
      <charset val="128"/>
    </font>
    <font>
      <b/>
      <sz val="12"/>
      <color indexed="12"/>
      <name val="ＭＳ Ｐ明朝"/>
      <family val="1"/>
      <charset val="128"/>
    </font>
    <font>
      <sz val="11"/>
      <color indexed="44"/>
      <name val="ＭＳ Ｐゴシック"/>
      <family val="3"/>
      <charset val="128"/>
    </font>
  </fonts>
  <fills count="10">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11"/>
        <bgColor indexed="64"/>
      </patternFill>
    </fill>
    <fill>
      <patternFill patternType="solid">
        <fgColor indexed="26"/>
        <bgColor indexed="64"/>
      </patternFill>
    </fill>
    <fill>
      <patternFill patternType="solid">
        <fgColor indexed="31"/>
        <bgColor indexed="64"/>
      </patternFill>
    </fill>
    <fill>
      <patternFill patternType="solid">
        <fgColor indexed="41"/>
        <bgColor indexed="64"/>
      </patternFill>
    </fill>
    <fill>
      <patternFill patternType="solid">
        <fgColor indexed="51"/>
        <bgColor indexed="64"/>
      </patternFill>
    </fill>
  </fills>
  <borders count="89">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diagonal/>
    </border>
    <border>
      <left style="thin">
        <color indexed="64"/>
      </left>
      <right/>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right style="thin">
        <color indexed="64"/>
      </right>
      <top style="hair">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hair">
        <color indexed="64"/>
      </left>
      <right/>
      <top style="medium">
        <color indexed="64"/>
      </top>
      <bottom/>
      <diagonal/>
    </border>
    <border>
      <left style="medium">
        <color indexed="64"/>
      </left>
      <right style="hair">
        <color indexed="64"/>
      </right>
      <top style="medium">
        <color indexed="64"/>
      </top>
      <bottom/>
      <diagonal/>
    </border>
    <border>
      <left/>
      <right style="hair">
        <color indexed="64"/>
      </right>
      <top style="medium">
        <color indexed="64"/>
      </top>
      <bottom style="hair">
        <color indexed="64"/>
      </bottom>
      <diagonal/>
    </border>
    <border>
      <left style="hair">
        <color indexed="64"/>
      </left>
      <right/>
      <top style="hair">
        <color indexed="64"/>
      </top>
      <bottom/>
      <diagonal/>
    </border>
    <border>
      <left style="hair">
        <color indexed="64"/>
      </left>
      <right style="hair">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cellStyleXfs>
  <cellXfs count="450">
    <xf numFmtId="0" fontId="0" fillId="0" borderId="0" xfId="0"/>
    <xf numFmtId="0" fontId="2" fillId="2" borderId="0" xfId="3" applyFill="1" applyProtection="1">
      <protection hidden="1"/>
    </xf>
    <xf numFmtId="0" fontId="91" fillId="3" borderId="0" xfId="2" applyNumberFormat="1" applyFont="1" applyFill="1" applyAlignment="1" applyProtection="1">
      <alignment horizontal="center" vertical="center" shrinkToFit="1"/>
      <protection hidden="1"/>
    </xf>
    <xf numFmtId="0" fontId="2" fillId="2" borderId="0" xfId="4" applyFill="1"/>
    <xf numFmtId="0" fontId="2" fillId="2" borderId="0" xfId="4" applyFill="1" applyProtection="1">
      <protection hidden="1"/>
    </xf>
    <xf numFmtId="0" fontId="98" fillId="4" borderId="1" xfId="4" applyFont="1" applyFill="1" applyBorder="1" applyAlignment="1" applyProtection="1">
      <alignment horizontal="center" vertical="center"/>
      <protection hidden="1"/>
    </xf>
    <xf numFmtId="0" fontId="76" fillId="5" borderId="0" xfId="4" applyFont="1" applyFill="1" applyProtection="1">
      <protection hidden="1"/>
    </xf>
    <xf numFmtId="0" fontId="100" fillId="2" borderId="0" xfId="4" applyFont="1" applyFill="1" applyBorder="1" applyAlignment="1" applyProtection="1">
      <alignment horizontal="center" vertical="center" shrinkToFit="1"/>
      <protection hidden="1"/>
    </xf>
    <xf numFmtId="177" fontId="100" fillId="6" borderId="2" xfId="4" applyNumberFormat="1" applyFont="1" applyFill="1" applyBorder="1" applyAlignment="1" applyProtection="1">
      <alignment horizontal="right" vertical="center"/>
      <protection hidden="1"/>
    </xf>
    <xf numFmtId="182" fontId="98" fillId="6" borderId="2" xfId="4" applyNumberFormat="1" applyFont="1" applyFill="1" applyBorder="1" applyAlignment="1" applyProtection="1">
      <alignment horizontal="center" vertical="center"/>
      <protection hidden="1"/>
    </xf>
    <xf numFmtId="0" fontId="100" fillId="6" borderId="3" xfId="4" applyFont="1" applyFill="1" applyBorder="1" applyAlignment="1" applyProtection="1">
      <alignment horizontal="center" vertical="center"/>
      <protection hidden="1"/>
    </xf>
    <xf numFmtId="177" fontId="51" fillId="0" borderId="0" xfId="4" applyNumberFormat="1" applyFont="1" applyFill="1" applyBorder="1" applyAlignment="1" applyProtection="1">
      <alignment horizontal="right" vertical="center"/>
      <protection locked="0"/>
    </xf>
    <xf numFmtId="182" fontId="2" fillId="0" borderId="0" xfId="4" applyNumberFormat="1" applyFont="1" applyFill="1" applyBorder="1" applyAlignment="1" applyProtection="1">
      <alignment horizontal="right" vertical="center"/>
      <protection locked="0"/>
    </xf>
    <xf numFmtId="182" fontId="22" fillId="0" borderId="0" xfId="4" applyNumberFormat="1" applyFont="1" applyFill="1" applyBorder="1" applyAlignment="1" applyProtection="1">
      <alignment vertical="center" shrinkToFit="1"/>
      <protection hidden="1"/>
    </xf>
    <xf numFmtId="177" fontId="4" fillId="2" borderId="0" xfId="4" applyNumberFormat="1" applyFont="1" applyFill="1" applyBorder="1" applyAlignment="1" applyProtection="1">
      <alignment horizontal="right" vertical="center"/>
      <protection hidden="1"/>
    </xf>
    <xf numFmtId="0" fontId="100" fillId="6" borderId="4" xfId="4" applyFont="1" applyFill="1" applyBorder="1" applyAlignment="1" applyProtection="1">
      <alignment horizontal="center" vertical="center"/>
      <protection hidden="1"/>
    </xf>
    <xf numFmtId="0" fontId="2" fillId="6" borderId="5" xfId="4" applyFill="1" applyBorder="1" applyAlignment="1" applyProtection="1">
      <alignment horizontal="center" vertical="center"/>
      <protection hidden="1"/>
    </xf>
    <xf numFmtId="0" fontId="2" fillId="6" borderId="5" xfId="4" applyFont="1" applyFill="1" applyBorder="1" applyAlignment="1" applyProtection="1">
      <alignment horizontal="center" vertical="center"/>
      <protection hidden="1"/>
    </xf>
    <xf numFmtId="177" fontId="4" fillId="2" borderId="0" xfId="4" applyNumberFormat="1" applyFont="1" applyFill="1" applyBorder="1" applyAlignment="1" applyProtection="1">
      <alignment horizontal="right" vertical="center"/>
      <protection locked="0"/>
    </xf>
    <xf numFmtId="183" fontId="51" fillId="0" borderId="0" xfId="4" applyNumberFormat="1" applyFont="1" applyFill="1" applyBorder="1" applyAlignment="1" applyProtection="1">
      <alignment horizontal="right" vertical="center"/>
      <protection locked="0"/>
    </xf>
    <xf numFmtId="182" fontId="4" fillId="0" borderId="0" xfId="4" applyNumberFormat="1" applyFont="1" applyFill="1" applyBorder="1" applyAlignment="1" applyProtection="1">
      <alignment horizontal="right" vertical="center"/>
      <protection locked="0"/>
    </xf>
    <xf numFmtId="177" fontId="51" fillId="2" borderId="0" xfId="4" applyNumberFormat="1" applyFont="1" applyFill="1" applyBorder="1" applyAlignment="1" applyProtection="1">
      <alignment horizontal="right" vertical="center"/>
      <protection hidden="1"/>
    </xf>
    <xf numFmtId="182" fontId="4" fillId="2" borderId="0" xfId="4" applyNumberFormat="1" applyFont="1" applyFill="1" applyBorder="1" applyAlignment="1" applyProtection="1">
      <alignment horizontal="right" vertical="center"/>
      <protection hidden="1"/>
    </xf>
    <xf numFmtId="0" fontId="98" fillId="4" borderId="6" xfId="4" applyFont="1" applyFill="1" applyBorder="1" applyAlignment="1" applyProtection="1">
      <alignment horizontal="center" vertical="center"/>
      <protection hidden="1"/>
    </xf>
    <xf numFmtId="176" fontId="51" fillId="3" borderId="2" xfId="4" applyNumberFormat="1" applyFont="1" applyFill="1" applyBorder="1" applyAlignment="1" applyProtection="1">
      <alignment horizontal="right" vertical="center" shrinkToFit="1"/>
      <protection locked="0"/>
    </xf>
    <xf numFmtId="182" fontId="2" fillId="3" borderId="2" xfId="4" applyNumberFormat="1" applyFont="1" applyFill="1" applyBorder="1" applyAlignment="1" applyProtection="1">
      <alignment horizontal="right" vertical="center"/>
      <protection locked="0"/>
    </xf>
    <xf numFmtId="182" fontId="22" fillId="3" borderId="2" xfId="4" applyNumberFormat="1" applyFont="1" applyFill="1" applyBorder="1" applyAlignment="1" applyProtection="1">
      <alignment vertical="center" shrinkToFit="1"/>
      <protection hidden="1"/>
    </xf>
    <xf numFmtId="0" fontId="57" fillId="7" borderId="7" xfId="0" applyFont="1" applyFill="1" applyBorder="1" applyAlignment="1" applyProtection="1">
      <alignment horizontal="center" vertical="center" shrinkToFit="1"/>
      <protection hidden="1"/>
    </xf>
    <xf numFmtId="0" fontId="0" fillId="6" borderId="7" xfId="0" applyFill="1" applyBorder="1" applyAlignment="1" applyProtection="1">
      <alignment horizontal="center" vertical="center" shrinkToFit="1"/>
      <protection hidden="1"/>
    </xf>
    <xf numFmtId="49" fontId="105" fillId="3" borderId="7" xfId="0" applyNumberFormat="1" applyFont="1" applyFill="1" applyBorder="1" applyAlignment="1" applyProtection="1">
      <alignment vertical="center" shrinkToFit="1"/>
      <protection locked="0"/>
    </xf>
    <xf numFmtId="0" fontId="4" fillId="2" borderId="0" xfId="2" applyNumberFormat="1" applyFont="1" applyFill="1" applyBorder="1" applyProtection="1">
      <protection hidden="1"/>
    </xf>
    <xf numFmtId="179" fontId="2" fillId="2" borderId="0" xfId="4" applyNumberFormat="1" applyFill="1"/>
    <xf numFmtId="0" fontId="109" fillId="2" borderId="0" xfId="4" applyFont="1" applyFill="1"/>
    <xf numFmtId="183" fontId="2" fillId="2" borderId="0" xfId="4" applyNumberFormat="1" applyFill="1"/>
    <xf numFmtId="179" fontId="2" fillId="2" borderId="0" xfId="4" applyNumberFormat="1" applyFill="1" applyProtection="1">
      <protection hidden="1"/>
    </xf>
    <xf numFmtId="0" fontId="33" fillId="2" borderId="0" xfId="4" applyFont="1" applyFill="1" applyBorder="1" applyAlignment="1" applyProtection="1">
      <alignment horizontal="left" vertical="center"/>
      <protection hidden="1"/>
    </xf>
    <xf numFmtId="0" fontId="100" fillId="2" borderId="0" xfId="4" applyFont="1" applyFill="1"/>
    <xf numFmtId="0" fontId="1" fillId="2" borderId="0" xfId="1" applyFont="1" applyFill="1" applyAlignment="1" applyProtection="1"/>
    <xf numFmtId="0" fontId="2" fillId="2" borderId="0" xfId="4" applyFont="1" applyFill="1" applyBorder="1" applyAlignment="1" applyProtection="1">
      <alignment horizontal="center" vertical="center"/>
      <protection hidden="1"/>
    </xf>
    <xf numFmtId="178" fontId="2" fillId="2" borderId="0" xfId="4" applyNumberFormat="1" applyFill="1"/>
    <xf numFmtId="0" fontId="13" fillId="2" borderId="0" xfId="4" applyFont="1" applyFill="1"/>
    <xf numFmtId="198" fontId="12" fillId="2" borderId="0" xfId="4" applyNumberFormat="1" applyFont="1" applyFill="1" applyBorder="1" applyAlignment="1" applyProtection="1">
      <protection hidden="1"/>
    </xf>
    <xf numFmtId="179" fontId="12" fillId="2" borderId="0" xfId="4" applyNumberFormat="1" applyFont="1" applyFill="1" applyBorder="1" applyAlignment="1" applyProtection="1">
      <alignment horizontal="right"/>
      <protection hidden="1"/>
    </xf>
    <xf numFmtId="198" fontId="12" fillId="2" borderId="0" xfId="4" applyNumberFormat="1" applyFont="1" applyFill="1" applyBorder="1" applyAlignment="1" applyProtection="1">
      <alignment wrapText="1"/>
      <protection hidden="1"/>
    </xf>
    <xf numFmtId="0" fontId="2" fillId="2" borderId="0" xfId="4" applyFill="1" applyAlignment="1">
      <alignment wrapText="1"/>
    </xf>
    <xf numFmtId="205" fontId="2" fillId="2" borderId="0" xfId="4" applyNumberFormat="1" applyFont="1" applyFill="1"/>
    <xf numFmtId="0" fontId="12" fillId="2" borderId="0" xfId="4" applyNumberFormat="1" applyFont="1" applyFill="1" applyBorder="1" applyProtection="1">
      <protection locked="0"/>
    </xf>
    <xf numFmtId="200" fontId="2" fillId="2" borderId="0" xfId="4" applyNumberFormat="1" applyFill="1"/>
    <xf numFmtId="0" fontId="2" fillId="2" borderId="0" xfId="4" applyFill="1" applyBorder="1" applyProtection="1">
      <protection hidden="1"/>
    </xf>
    <xf numFmtId="204" fontId="2" fillId="2" borderId="0" xfId="4" applyNumberFormat="1" applyFont="1" applyFill="1" applyAlignment="1">
      <alignment shrinkToFit="1"/>
    </xf>
    <xf numFmtId="0" fontId="113" fillId="2" borderId="0" xfId="4" applyFont="1" applyFill="1" applyAlignment="1">
      <alignment horizontal="center"/>
    </xf>
    <xf numFmtId="0" fontId="114" fillId="2" borderId="0" xfId="4" applyFont="1" applyFill="1" applyAlignment="1">
      <alignment horizontal="center"/>
    </xf>
    <xf numFmtId="0" fontId="2" fillId="2" borderId="0" xfId="4" applyFont="1" applyFill="1"/>
    <xf numFmtId="203" fontId="2" fillId="2" borderId="0" xfId="4" applyNumberFormat="1" applyFont="1" applyFill="1"/>
    <xf numFmtId="0" fontId="2" fillId="3" borderId="14" xfId="4" applyFill="1" applyBorder="1" applyAlignment="1">
      <alignment horizontal="center"/>
    </xf>
    <xf numFmtId="0" fontId="2" fillId="3" borderId="0" xfId="4" applyFill="1" applyBorder="1" applyAlignment="1">
      <alignment horizontal="center"/>
    </xf>
    <xf numFmtId="49" fontId="4" fillId="6" borderId="0" xfId="4" applyNumberFormat="1" applyFont="1" applyFill="1" applyBorder="1" applyAlignment="1" applyProtection="1">
      <alignment horizontal="right" vertical="center"/>
      <protection locked="0"/>
    </xf>
    <xf numFmtId="178" fontId="2" fillId="2" borderId="0" xfId="4" applyNumberFormat="1" applyFont="1" applyFill="1"/>
    <xf numFmtId="0" fontId="2" fillId="3" borderId="15" xfId="4" applyNumberFormat="1" applyFont="1" applyFill="1" applyBorder="1" applyAlignment="1" applyProtection="1">
      <alignment horizontal="center" vertical="center" shrinkToFit="1"/>
      <protection hidden="1"/>
    </xf>
    <xf numFmtId="0" fontId="2" fillId="2" borderId="0" xfId="4" applyFont="1" applyFill="1" applyProtection="1">
      <protection hidden="1"/>
    </xf>
    <xf numFmtId="0" fontId="2" fillId="3" borderId="4" xfId="4" applyFont="1" applyFill="1" applyBorder="1" applyAlignment="1" applyProtection="1">
      <alignment horizontal="center" vertical="center" wrapText="1"/>
      <protection hidden="1"/>
    </xf>
    <xf numFmtId="0" fontId="7" fillId="3" borderId="2" xfId="4" applyFont="1" applyFill="1" applyBorder="1" applyAlignment="1" applyProtection="1">
      <alignment horizontal="center" vertical="center" shrinkToFit="1"/>
      <protection hidden="1"/>
    </xf>
    <xf numFmtId="181" fontId="4" fillId="3" borderId="16" xfId="4" applyNumberFormat="1" applyFont="1" applyFill="1" applyBorder="1" applyAlignment="1" applyProtection="1">
      <alignment horizontal="center" vertical="center" shrinkToFit="1"/>
      <protection hidden="1"/>
    </xf>
    <xf numFmtId="181" fontId="4" fillId="3" borderId="17" xfId="4" applyNumberFormat="1" applyFont="1" applyFill="1" applyBorder="1" applyAlignment="1" applyProtection="1">
      <alignment horizontal="center" vertical="center" wrapText="1"/>
      <protection hidden="1"/>
    </xf>
    <xf numFmtId="0" fontId="2" fillId="2" borderId="7" xfId="4" applyFill="1" applyBorder="1" applyAlignment="1" applyProtection="1">
      <alignment horizontal="center" vertical="center" shrinkToFit="1"/>
      <protection hidden="1"/>
    </xf>
    <xf numFmtId="0" fontId="13" fillId="2" borderId="7" xfId="4" applyFont="1" applyFill="1" applyBorder="1" applyAlignment="1" applyProtection="1">
      <alignment horizontal="center" vertical="center" shrinkToFit="1"/>
      <protection hidden="1"/>
    </xf>
    <xf numFmtId="0" fontId="2" fillId="3" borderId="18" xfId="4" applyFont="1" applyFill="1" applyBorder="1" applyAlignment="1" applyProtection="1">
      <alignment horizontal="center" vertical="center"/>
      <protection hidden="1"/>
    </xf>
    <xf numFmtId="0" fontId="7" fillId="3" borderId="1" xfId="4" applyFont="1" applyFill="1" applyBorder="1" applyAlignment="1" applyProtection="1">
      <alignment horizontal="center" vertical="center"/>
      <protection hidden="1"/>
    </xf>
    <xf numFmtId="0" fontId="2" fillId="3" borderId="1" xfId="4" applyFill="1" applyBorder="1" applyProtection="1">
      <protection hidden="1"/>
    </xf>
    <xf numFmtId="0" fontId="11" fillId="3" borderId="1" xfId="4" applyFont="1" applyFill="1" applyBorder="1" applyAlignment="1" applyProtection="1">
      <alignment horizontal="center" vertical="center"/>
      <protection hidden="1"/>
    </xf>
    <xf numFmtId="0" fontId="7" fillId="3" borderId="1" xfId="4" applyFont="1" applyFill="1" applyBorder="1" applyAlignment="1" applyProtection="1">
      <alignment horizontal="center"/>
      <protection hidden="1"/>
    </xf>
    <xf numFmtId="0" fontId="11" fillId="3" borderId="19" xfId="4" applyFont="1" applyFill="1" applyBorder="1" applyAlignment="1" applyProtection="1">
      <alignment horizontal="center" vertical="center"/>
      <protection hidden="1"/>
    </xf>
    <xf numFmtId="0" fontId="12" fillId="3" borderId="3" xfId="4" applyFont="1" applyFill="1" applyBorder="1" applyAlignment="1" applyProtection="1">
      <alignment horizontal="center" vertical="center"/>
      <protection hidden="1"/>
    </xf>
    <xf numFmtId="0" fontId="4" fillId="3" borderId="4" xfId="4" applyFont="1" applyFill="1" applyBorder="1" applyAlignment="1" applyProtection="1">
      <alignment horizontal="center" vertical="center" shrinkToFit="1"/>
      <protection hidden="1"/>
    </xf>
    <xf numFmtId="0" fontId="4" fillId="3" borderId="20" xfId="4" applyFont="1" applyFill="1" applyBorder="1" applyAlignment="1" applyProtection="1">
      <alignment horizontal="center" vertical="center" shrinkToFit="1"/>
      <protection hidden="1"/>
    </xf>
    <xf numFmtId="181" fontId="4" fillId="3" borderId="21" xfId="4" applyNumberFormat="1" applyFont="1" applyFill="1" applyBorder="1" applyAlignment="1" applyProtection="1">
      <alignment horizontal="center" vertical="center" shrinkToFit="1"/>
      <protection hidden="1"/>
    </xf>
    <xf numFmtId="0" fontId="2" fillId="2" borderId="7" xfId="4" applyFont="1" applyFill="1" applyBorder="1" applyAlignment="1" applyProtection="1">
      <alignment horizontal="center" vertical="center" shrinkToFit="1"/>
      <protection hidden="1"/>
    </xf>
    <xf numFmtId="0" fontId="8" fillId="3" borderId="22" xfId="4" applyFont="1" applyFill="1" applyBorder="1" applyAlignment="1" applyProtection="1">
      <alignment horizontal="center" vertical="center" shrinkToFit="1"/>
      <protection hidden="1"/>
    </xf>
    <xf numFmtId="0" fontId="12" fillId="3" borderId="4" xfId="4" applyFont="1" applyFill="1" applyBorder="1" applyAlignment="1" applyProtection="1">
      <alignment horizontal="center"/>
      <protection hidden="1"/>
    </xf>
    <xf numFmtId="0" fontId="12" fillId="3" borderId="23" xfId="4" applyFont="1" applyFill="1" applyBorder="1" applyAlignment="1" applyProtection="1">
      <alignment horizontal="center" shrinkToFit="1"/>
      <protection hidden="1"/>
    </xf>
    <xf numFmtId="0" fontId="4" fillId="3" borderId="12" xfId="4" applyFont="1" applyFill="1" applyBorder="1" applyAlignment="1" applyProtection="1">
      <alignment horizontal="center" vertical="center" shrinkToFit="1"/>
      <protection hidden="1"/>
    </xf>
    <xf numFmtId="0" fontId="8" fillId="3" borderId="24" xfId="4" applyFont="1" applyFill="1" applyBorder="1" applyAlignment="1" applyProtection="1">
      <alignment horizontal="center" vertical="top" shrinkToFit="1"/>
      <protection hidden="1"/>
    </xf>
    <xf numFmtId="49" fontId="58" fillId="8" borderId="25" xfId="4" applyNumberFormat="1" applyFont="1" applyFill="1" applyBorder="1" applyAlignment="1" applyProtection="1">
      <alignment horizontal="center" vertical="center" shrinkToFit="1"/>
      <protection hidden="1"/>
    </xf>
    <xf numFmtId="0" fontId="8" fillId="3" borderId="26" xfId="4" applyFont="1" applyFill="1" applyBorder="1" applyAlignment="1" applyProtection="1">
      <alignment horizontal="right" vertical="center" shrinkToFit="1"/>
      <protection hidden="1"/>
    </xf>
    <xf numFmtId="0" fontId="8" fillId="3" borderId="27" xfId="4" applyFont="1" applyFill="1" applyBorder="1" applyAlignment="1" applyProtection="1">
      <alignment horizontal="center" vertical="center" shrinkToFit="1"/>
      <protection hidden="1"/>
    </xf>
    <xf numFmtId="0" fontId="4" fillId="3" borderId="28" xfId="4" applyFont="1" applyFill="1" applyBorder="1" applyAlignment="1" applyProtection="1">
      <alignment horizontal="center" vertical="center"/>
      <protection hidden="1"/>
    </xf>
    <xf numFmtId="0" fontId="8" fillId="3" borderId="29" xfId="4" applyFont="1" applyFill="1" applyBorder="1" applyAlignment="1" applyProtection="1">
      <alignment horizontal="center" vertical="center" shrinkToFit="1"/>
      <protection hidden="1"/>
    </xf>
    <xf numFmtId="0" fontId="14" fillId="3" borderId="29" xfId="4" applyFont="1" applyFill="1" applyBorder="1" applyAlignment="1" applyProtection="1">
      <alignment horizontal="center" vertical="top"/>
      <protection hidden="1"/>
    </xf>
    <xf numFmtId="0" fontId="8" fillId="3" borderId="30" xfId="4" applyFont="1" applyFill="1" applyBorder="1" applyAlignment="1" applyProtection="1">
      <alignment horizontal="center" vertical="center"/>
      <protection hidden="1"/>
    </xf>
    <xf numFmtId="0" fontId="14" fillId="3" borderId="30" xfId="4" applyFont="1" applyFill="1" applyBorder="1" applyAlignment="1" applyProtection="1">
      <alignment horizontal="center" vertical="center" shrinkToFit="1"/>
      <protection hidden="1"/>
    </xf>
    <xf numFmtId="0" fontId="8" fillId="3" borderId="29" xfId="4" applyFont="1" applyFill="1" applyBorder="1" applyAlignment="1" applyProtection="1">
      <alignment horizontal="center" vertical="center"/>
      <protection hidden="1"/>
    </xf>
    <xf numFmtId="0" fontId="4" fillId="3" borderId="31" xfId="4" applyFont="1" applyFill="1" applyBorder="1" applyAlignment="1" applyProtection="1">
      <alignment horizontal="center" vertical="center" shrinkToFit="1"/>
      <protection hidden="1"/>
    </xf>
    <xf numFmtId="0" fontId="8" fillId="3" borderId="32" xfId="4" applyFont="1" applyFill="1" applyBorder="1" applyAlignment="1" applyProtection="1">
      <alignment horizontal="center" vertical="center" shrinkToFit="1"/>
      <protection hidden="1"/>
    </xf>
    <xf numFmtId="181" fontId="4" fillId="3" borderId="33" xfId="4" applyNumberFormat="1" applyFont="1" applyFill="1" applyBorder="1" applyAlignment="1" applyProtection="1">
      <alignment horizontal="center" vertical="center" shrinkToFit="1"/>
      <protection hidden="1"/>
    </xf>
    <xf numFmtId="0" fontId="15" fillId="3" borderId="34" xfId="4" quotePrefix="1" applyFont="1" applyFill="1" applyBorder="1" applyAlignment="1" applyProtection="1">
      <alignment horizontal="center" vertical="center" shrinkToFit="1"/>
      <protection hidden="1"/>
    </xf>
    <xf numFmtId="0" fontId="15" fillId="3" borderId="28" xfId="4" quotePrefix="1" applyFont="1" applyFill="1" applyBorder="1" applyAlignment="1" applyProtection="1">
      <alignment horizontal="center" vertical="center" shrinkToFit="1"/>
      <protection hidden="1"/>
    </xf>
    <xf numFmtId="178" fontId="16" fillId="6" borderId="35" xfId="4" applyNumberFormat="1" applyFont="1" applyFill="1" applyBorder="1" applyAlignment="1" applyProtection="1">
      <alignment horizontal="center" vertical="center"/>
      <protection hidden="1"/>
    </xf>
    <xf numFmtId="178" fontId="8" fillId="6" borderId="36" xfId="4" applyNumberFormat="1" applyFont="1" applyFill="1" applyBorder="1" applyAlignment="1" applyProtection="1">
      <alignment horizontal="left" vertical="center" shrinkToFit="1"/>
      <protection locked="0"/>
    </xf>
    <xf numFmtId="200" fontId="4" fillId="6" borderId="37" xfId="4" applyNumberFormat="1" applyFont="1" applyFill="1" applyBorder="1" applyAlignment="1" applyProtection="1">
      <alignment horizontal="right" vertical="center" shrinkToFit="1"/>
      <protection locked="0"/>
    </xf>
    <xf numFmtId="185" fontId="4" fillId="6" borderId="37" xfId="4" applyNumberFormat="1" applyFont="1" applyFill="1" applyBorder="1" applyAlignment="1" applyProtection="1">
      <alignment horizontal="center" vertical="center"/>
      <protection locked="0"/>
    </xf>
    <xf numFmtId="185" fontId="4" fillId="6" borderId="37" xfId="4" applyNumberFormat="1" applyFont="1" applyFill="1" applyBorder="1" applyAlignment="1" applyProtection="1">
      <alignment horizontal="right" vertical="center" shrinkToFit="1"/>
      <protection locked="0"/>
    </xf>
    <xf numFmtId="179" fontId="17" fillId="3" borderId="38" xfId="4" applyNumberFormat="1" applyFont="1" applyFill="1" applyBorder="1" applyAlignment="1" applyProtection="1">
      <alignment horizontal="right" vertical="center" shrinkToFit="1"/>
      <protection hidden="1"/>
    </xf>
    <xf numFmtId="198" fontId="4" fillId="6" borderId="37" xfId="4" applyNumberFormat="1" applyFont="1" applyFill="1" applyBorder="1" applyAlignment="1" applyProtection="1">
      <alignment horizontal="center" vertical="center"/>
      <protection locked="0"/>
    </xf>
    <xf numFmtId="200" fontId="17" fillId="3" borderId="37" xfId="4" applyNumberFormat="1" applyFont="1" applyFill="1" applyBorder="1" applyAlignment="1" applyProtection="1">
      <alignment horizontal="center" vertical="center" shrinkToFit="1"/>
      <protection hidden="1"/>
    </xf>
    <xf numFmtId="194" fontId="17" fillId="3" borderId="39" xfId="4" applyNumberFormat="1" applyFont="1" applyFill="1" applyBorder="1" applyAlignment="1" applyProtection="1">
      <alignment horizontal="right" vertical="center" shrinkToFit="1"/>
      <protection hidden="1"/>
    </xf>
    <xf numFmtId="192" fontId="17" fillId="3" borderId="40" xfId="4" applyNumberFormat="1" applyFont="1" applyFill="1" applyBorder="1" applyAlignment="1" applyProtection="1">
      <alignment horizontal="center" vertical="center" shrinkToFit="1"/>
      <protection hidden="1"/>
    </xf>
    <xf numFmtId="0" fontId="58" fillId="6" borderId="41" xfId="4" applyFont="1" applyFill="1" applyBorder="1" applyAlignment="1" applyProtection="1">
      <alignment horizontal="left" shrinkToFit="1"/>
      <protection hidden="1"/>
    </xf>
    <xf numFmtId="0" fontId="4" fillId="2" borderId="0" xfId="4" applyNumberFormat="1" applyFont="1" applyFill="1" applyBorder="1" applyAlignment="1" applyProtection="1">
      <alignment horizontal="right" vertical="center"/>
      <protection hidden="1"/>
    </xf>
    <xf numFmtId="201" fontId="4" fillId="2" borderId="0" xfId="4" applyNumberFormat="1" applyFont="1" applyFill="1" applyAlignment="1" applyProtection="1">
      <alignment horizontal="right" vertical="center" shrinkToFit="1"/>
      <protection hidden="1"/>
    </xf>
    <xf numFmtId="199" fontId="4" fillId="2" borderId="0" xfId="4" applyNumberFormat="1" applyFont="1" applyFill="1" applyAlignment="1" applyProtection="1">
      <alignment horizontal="right" vertical="center" shrinkToFit="1"/>
      <protection hidden="1"/>
    </xf>
    <xf numFmtId="204" fontId="4" fillId="2" borderId="0" xfId="4" applyNumberFormat="1" applyFont="1" applyFill="1" applyAlignment="1" applyProtection="1">
      <alignment horizontal="right" vertical="center" shrinkToFit="1"/>
      <protection hidden="1"/>
    </xf>
    <xf numFmtId="0" fontId="4" fillId="2" borderId="0" xfId="4" applyNumberFormat="1" applyFont="1" applyFill="1" applyAlignment="1" applyProtection="1">
      <alignment horizontal="right" vertical="center"/>
      <protection hidden="1"/>
    </xf>
    <xf numFmtId="202" fontId="4" fillId="2" borderId="0" xfId="4" applyNumberFormat="1" applyFont="1" applyFill="1" applyAlignment="1" applyProtection="1">
      <alignment horizontal="right" vertical="center" shrinkToFit="1"/>
      <protection hidden="1"/>
    </xf>
    <xf numFmtId="199" fontId="2" fillId="2" borderId="0" xfId="4" applyNumberFormat="1" applyFont="1" applyFill="1" applyAlignment="1">
      <alignment shrinkToFit="1"/>
    </xf>
    <xf numFmtId="0" fontId="2" fillId="2" borderId="0" xfId="4" applyFont="1" applyFill="1" applyAlignment="1">
      <alignment horizontal="right" vertical="center" shrinkToFit="1"/>
    </xf>
    <xf numFmtId="0" fontId="2" fillId="2" borderId="0" xfId="4" applyFont="1" applyFill="1" applyAlignment="1">
      <alignment horizontal="center" vertical="center"/>
    </xf>
    <xf numFmtId="180" fontId="19" fillId="3" borderId="2" xfId="4" applyNumberFormat="1" applyFont="1" applyFill="1" applyBorder="1" applyAlignment="1" applyProtection="1">
      <alignment horizontal="center" vertical="center"/>
      <protection hidden="1"/>
    </xf>
    <xf numFmtId="178" fontId="8" fillId="6" borderId="42" xfId="4" applyNumberFormat="1" applyFont="1" applyFill="1" applyBorder="1" applyAlignment="1" applyProtection="1">
      <alignment horizontal="left" vertical="center" shrinkToFit="1"/>
      <protection locked="0"/>
    </xf>
    <xf numFmtId="200" fontId="4" fillId="6" borderId="4" xfId="4" applyNumberFormat="1" applyFont="1" applyFill="1" applyBorder="1" applyAlignment="1" applyProtection="1">
      <alignment horizontal="right" vertical="center" shrinkToFit="1"/>
      <protection locked="0"/>
    </xf>
    <xf numFmtId="185" fontId="4" fillId="6" borderId="2" xfId="4" applyNumberFormat="1" applyFont="1" applyFill="1" applyBorder="1" applyAlignment="1" applyProtection="1">
      <alignment horizontal="center" vertical="center"/>
      <protection locked="0"/>
    </xf>
    <xf numFmtId="185" fontId="4" fillId="6" borderId="2" xfId="4" applyNumberFormat="1" applyFont="1" applyFill="1" applyBorder="1" applyAlignment="1" applyProtection="1">
      <alignment horizontal="right" vertical="center" shrinkToFit="1"/>
      <protection locked="0"/>
    </xf>
    <xf numFmtId="179" fontId="17" fillId="3" borderId="6" xfId="4" applyNumberFormat="1" applyFont="1" applyFill="1" applyBorder="1" applyAlignment="1" applyProtection="1">
      <alignment horizontal="right" vertical="center" shrinkToFit="1"/>
      <protection hidden="1"/>
    </xf>
    <xf numFmtId="198" fontId="4" fillId="6" borderId="5" xfId="4" applyNumberFormat="1" applyFont="1" applyFill="1" applyBorder="1" applyAlignment="1" applyProtection="1">
      <alignment horizontal="center" vertical="center"/>
      <protection locked="0"/>
    </xf>
    <xf numFmtId="183" fontId="17" fillId="3" borderId="20" xfId="4" applyNumberFormat="1" applyFont="1" applyFill="1" applyBorder="1" applyAlignment="1" applyProtection="1">
      <alignment horizontal="center" vertical="center" shrinkToFit="1"/>
      <protection hidden="1"/>
    </xf>
    <xf numFmtId="192" fontId="17" fillId="3" borderId="17" xfId="4" applyNumberFormat="1" applyFont="1" applyFill="1" applyBorder="1" applyAlignment="1" applyProtection="1">
      <alignment horizontal="right" vertical="center" shrinkToFit="1"/>
      <protection hidden="1"/>
    </xf>
    <xf numFmtId="0" fontId="8" fillId="6" borderId="43" xfId="4" applyFont="1" applyFill="1" applyBorder="1" applyAlignment="1" applyProtection="1">
      <alignment horizontal="left" vertical="top" wrapText="1"/>
      <protection hidden="1"/>
    </xf>
    <xf numFmtId="200" fontId="4" fillId="6" borderId="2" xfId="4" applyNumberFormat="1" applyFont="1" applyFill="1" applyBorder="1" applyAlignment="1" applyProtection="1">
      <alignment horizontal="right" vertical="center" shrinkToFit="1"/>
      <protection locked="0"/>
    </xf>
    <xf numFmtId="185" fontId="4" fillId="6" borderId="5" xfId="4" applyNumberFormat="1" applyFont="1" applyFill="1" applyBorder="1" applyAlignment="1" applyProtection="1">
      <alignment horizontal="center" vertical="center"/>
      <protection locked="0"/>
    </xf>
    <xf numFmtId="183" fontId="17" fillId="3" borderId="2" xfId="4" applyNumberFormat="1" applyFont="1" applyFill="1" applyBorder="1" applyAlignment="1" applyProtection="1">
      <alignment horizontal="center" vertical="center" shrinkToFit="1"/>
      <protection hidden="1"/>
    </xf>
    <xf numFmtId="184" fontId="17" fillId="3" borderId="2" xfId="4" applyNumberFormat="1" applyFont="1" applyFill="1" applyBorder="1" applyAlignment="1" applyProtection="1">
      <alignment horizontal="right" vertical="center" shrinkToFit="1"/>
      <protection hidden="1"/>
    </xf>
    <xf numFmtId="183" fontId="4" fillId="6" borderId="44" xfId="4" applyNumberFormat="1" applyFont="1" applyFill="1" applyBorder="1" applyAlignment="1" applyProtection="1">
      <alignment horizontal="right" vertical="center" shrinkToFit="1"/>
      <protection locked="0"/>
    </xf>
    <xf numFmtId="177" fontId="16" fillId="6" borderId="2" xfId="4" applyNumberFormat="1" applyFont="1" applyFill="1" applyBorder="1" applyAlignment="1" applyProtection="1">
      <alignment horizontal="center" vertical="center"/>
      <protection locked="0"/>
    </xf>
    <xf numFmtId="189" fontId="4" fillId="6" borderId="2" xfId="4" applyNumberFormat="1" applyFont="1" applyFill="1" applyBorder="1" applyAlignment="1" applyProtection="1">
      <alignment horizontal="right" vertical="center" shrinkToFit="1"/>
      <protection locked="0"/>
    </xf>
    <xf numFmtId="190" fontId="4" fillId="6" borderId="13" xfId="4" applyNumberFormat="1" applyFont="1" applyFill="1" applyBorder="1" applyAlignment="1" applyProtection="1">
      <alignment horizontal="right" vertical="center" shrinkToFit="1"/>
      <protection locked="0"/>
    </xf>
    <xf numFmtId="183" fontId="4" fillId="6" borderId="5" xfId="4" applyNumberFormat="1" applyFont="1" applyFill="1" applyBorder="1" applyAlignment="1" applyProtection="1">
      <alignment horizontal="right" vertical="center" shrinkToFit="1"/>
      <protection locked="0"/>
    </xf>
    <xf numFmtId="190" fontId="4" fillId="6" borderId="12" xfId="4" applyNumberFormat="1" applyFont="1" applyFill="1" applyBorder="1" applyAlignment="1" applyProtection="1">
      <alignment horizontal="right" vertical="center" shrinkToFit="1"/>
      <protection locked="0"/>
    </xf>
    <xf numFmtId="192" fontId="17" fillId="3" borderId="45" xfId="4" applyNumberFormat="1" applyFont="1" applyFill="1" applyBorder="1" applyAlignment="1" applyProtection="1">
      <alignment horizontal="right" vertical="center" shrinkToFit="1"/>
      <protection hidden="1"/>
    </xf>
    <xf numFmtId="0" fontId="11" fillId="6" borderId="43" xfId="4" applyFont="1" applyFill="1" applyBorder="1" applyAlignment="1" applyProtection="1">
      <alignment horizontal="left" vertical="top" wrapText="1"/>
      <protection locked="0"/>
    </xf>
    <xf numFmtId="199" fontId="4" fillId="2" borderId="0" xfId="4" applyNumberFormat="1" applyFont="1" applyFill="1" applyBorder="1" applyAlignment="1" applyProtection="1">
      <alignment horizontal="right" vertical="center" shrinkToFit="1"/>
      <protection hidden="1"/>
    </xf>
    <xf numFmtId="201" fontId="4" fillId="2" borderId="0" xfId="4" applyNumberFormat="1" applyFont="1" applyFill="1" applyBorder="1" applyAlignment="1" applyProtection="1">
      <alignment horizontal="right" vertical="center" shrinkToFit="1"/>
      <protection hidden="1"/>
    </xf>
    <xf numFmtId="199" fontId="2" fillId="2" borderId="7" xfId="4" applyNumberFormat="1" applyFont="1" applyFill="1" applyBorder="1" applyAlignment="1">
      <alignment shrinkToFit="1"/>
    </xf>
    <xf numFmtId="0" fontId="2" fillId="2" borderId="0" xfId="4" applyFont="1" applyFill="1" applyBorder="1"/>
    <xf numFmtId="178" fontId="8" fillId="6" borderId="34" xfId="4" applyNumberFormat="1" applyFont="1" applyFill="1" applyBorder="1" applyAlignment="1" applyProtection="1">
      <alignment horizontal="left" vertical="center" shrinkToFit="1"/>
      <protection locked="0"/>
    </xf>
    <xf numFmtId="200" fontId="4" fillId="6" borderId="31" xfId="4" applyNumberFormat="1" applyFont="1" applyFill="1" applyBorder="1" applyAlignment="1" applyProtection="1">
      <alignment horizontal="right" vertical="center" shrinkToFit="1"/>
      <protection locked="0"/>
    </xf>
    <xf numFmtId="185" fontId="4" fillId="6" borderId="31" xfId="4" applyNumberFormat="1" applyFont="1" applyFill="1" applyBorder="1" applyAlignment="1" applyProtection="1">
      <alignment horizontal="center" vertical="center"/>
      <protection locked="0"/>
    </xf>
    <xf numFmtId="185" fontId="4" fillId="6" borderId="31" xfId="4" applyNumberFormat="1" applyFont="1" applyFill="1" applyBorder="1" applyAlignment="1" applyProtection="1">
      <alignment horizontal="right" vertical="center" shrinkToFit="1"/>
      <protection locked="0"/>
    </xf>
    <xf numFmtId="179" fontId="17" fillId="3" borderId="46" xfId="4" applyNumberFormat="1" applyFont="1" applyFill="1" applyBorder="1" applyAlignment="1" applyProtection="1">
      <alignment horizontal="right" vertical="center" shrinkToFit="1"/>
      <protection hidden="1"/>
    </xf>
    <xf numFmtId="198" fontId="4" fillId="6" borderId="31" xfId="4" applyNumberFormat="1" applyFont="1" applyFill="1" applyBorder="1" applyAlignment="1" applyProtection="1">
      <alignment horizontal="center" vertical="center"/>
      <protection locked="0"/>
    </xf>
    <xf numFmtId="183" fontId="17" fillId="3" borderId="31" xfId="4" applyNumberFormat="1" applyFont="1" applyFill="1" applyBorder="1" applyAlignment="1" applyProtection="1">
      <alignment horizontal="center" vertical="center" shrinkToFit="1"/>
      <protection hidden="1"/>
    </xf>
    <xf numFmtId="184" fontId="17" fillId="3" borderId="31" xfId="4" applyNumberFormat="1" applyFont="1" applyFill="1" applyBorder="1" applyAlignment="1" applyProtection="1">
      <alignment horizontal="right" vertical="center" shrinkToFit="1"/>
      <protection hidden="1"/>
    </xf>
    <xf numFmtId="194" fontId="17" fillId="3" borderId="33" xfId="4" applyNumberFormat="1" applyFont="1" applyFill="1" applyBorder="1" applyAlignment="1" applyProtection="1">
      <alignment horizontal="right" vertical="center" shrinkToFit="1"/>
      <protection hidden="1"/>
    </xf>
    <xf numFmtId="197" fontId="21" fillId="3" borderId="47" xfId="4" applyNumberFormat="1" applyFont="1" applyFill="1" applyBorder="1" applyAlignment="1" applyProtection="1">
      <alignment horizontal="left" vertical="center" shrinkToFit="1"/>
      <protection hidden="1"/>
    </xf>
    <xf numFmtId="0" fontId="11" fillId="6" borderId="48" xfId="4" applyFont="1" applyFill="1" applyBorder="1" applyAlignment="1" applyProtection="1">
      <alignment horizontal="left" vertical="top" wrapText="1"/>
      <protection locked="0"/>
    </xf>
    <xf numFmtId="199" fontId="4" fillId="2" borderId="49" xfId="4" applyNumberFormat="1" applyFont="1" applyFill="1" applyBorder="1" applyAlignment="1" applyProtection="1">
      <alignment horizontal="right" vertical="center" shrinkToFit="1"/>
      <protection hidden="1"/>
    </xf>
    <xf numFmtId="201" fontId="4" fillId="2" borderId="49" xfId="4" applyNumberFormat="1" applyFont="1" applyFill="1" applyBorder="1" applyAlignment="1" applyProtection="1">
      <alignment horizontal="right" vertical="center" shrinkToFit="1"/>
      <protection hidden="1"/>
    </xf>
    <xf numFmtId="0" fontId="4" fillId="2" borderId="49" xfId="4" applyNumberFormat="1" applyFont="1" applyFill="1" applyBorder="1" applyAlignment="1" applyProtection="1">
      <alignment horizontal="right" vertical="center"/>
      <protection hidden="1"/>
    </xf>
    <xf numFmtId="204" fontId="4" fillId="2" borderId="49" xfId="4" applyNumberFormat="1" applyFont="1" applyFill="1" applyBorder="1" applyAlignment="1" applyProtection="1">
      <alignment horizontal="right" vertical="center" shrinkToFit="1"/>
      <protection hidden="1"/>
    </xf>
    <xf numFmtId="202" fontId="4" fillId="2" borderId="49" xfId="4" applyNumberFormat="1" applyFont="1" applyFill="1" applyBorder="1" applyAlignment="1" applyProtection="1">
      <alignment horizontal="right" vertical="center" shrinkToFit="1"/>
      <protection hidden="1"/>
    </xf>
    <xf numFmtId="49" fontId="8" fillId="3" borderId="25" xfId="4" applyNumberFormat="1" applyFont="1" applyFill="1" applyBorder="1" applyAlignment="1" applyProtection="1">
      <alignment horizontal="left" vertical="center" shrinkToFit="1"/>
      <protection locked="0"/>
    </xf>
    <xf numFmtId="0" fontId="2" fillId="2" borderId="0" xfId="4" applyFill="1" applyAlignment="1"/>
    <xf numFmtId="0" fontId="12" fillId="3" borderId="50" xfId="4" applyNumberFormat="1" applyFont="1" applyFill="1" applyBorder="1" applyAlignment="1" applyProtection="1">
      <alignment horizontal="center" vertical="top" wrapText="1"/>
      <protection hidden="1"/>
    </xf>
    <xf numFmtId="49" fontId="121" fillId="3" borderId="51" xfId="4" applyNumberFormat="1" applyFont="1" applyFill="1" applyBorder="1" applyAlignment="1" applyProtection="1">
      <alignment horizontal="center" vertical="center" wrapText="1"/>
      <protection hidden="1"/>
    </xf>
    <xf numFmtId="0" fontId="108" fillId="2" borderId="0" xfId="4" applyFont="1" applyFill="1" applyProtection="1">
      <protection hidden="1"/>
    </xf>
    <xf numFmtId="49" fontId="122" fillId="8" borderId="25" xfId="4" applyNumberFormat="1" applyFont="1" applyFill="1" applyBorder="1" applyAlignment="1" applyProtection="1">
      <alignment horizontal="center" vertical="center" shrinkToFit="1"/>
      <protection hidden="1"/>
    </xf>
    <xf numFmtId="178" fontId="8" fillId="6" borderId="36" xfId="0" applyNumberFormat="1" applyFont="1" applyFill="1" applyBorder="1" applyAlignment="1" applyProtection="1">
      <alignment horizontal="left" vertical="center" shrinkToFit="1"/>
      <protection locked="0"/>
    </xf>
    <xf numFmtId="185" fontId="4" fillId="6" borderId="37" xfId="0" applyNumberFormat="1" applyFont="1" applyFill="1" applyBorder="1" applyAlignment="1" applyProtection="1">
      <alignment horizontal="center" vertical="center"/>
      <protection locked="0"/>
    </xf>
    <xf numFmtId="185" fontId="4" fillId="6" borderId="37" xfId="0" applyNumberFormat="1" applyFont="1" applyFill="1" applyBorder="1" applyAlignment="1" applyProtection="1">
      <alignment horizontal="right" vertical="center" shrinkToFit="1"/>
      <protection locked="0"/>
    </xf>
    <xf numFmtId="179" fontId="17" fillId="3" borderId="38" xfId="0" applyNumberFormat="1" applyFont="1" applyFill="1" applyBorder="1" applyAlignment="1" applyProtection="1">
      <alignment horizontal="right" vertical="center" shrinkToFit="1"/>
      <protection hidden="1"/>
    </xf>
    <xf numFmtId="198" fontId="4" fillId="6" borderId="37" xfId="0" applyNumberFormat="1" applyFont="1" applyFill="1" applyBorder="1" applyAlignment="1" applyProtection="1">
      <alignment horizontal="center" vertical="center"/>
      <protection locked="0"/>
    </xf>
    <xf numFmtId="200" fontId="17" fillId="3" borderId="37" xfId="0" applyNumberFormat="1" applyFont="1" applyFill="1" applyBorder="1" applyAlignment="1" applyProtection="1">
      <alignment horizontal="center" vertical="center" shrinkToFit="1"/>
      <protection hidden="1"/>
    </xf>
    <xf numFmtId="180" fontId="19" fillId="3" borderId="2" xfId="0" applyNumberFormat="1" applyFont="1" applyFill="1" applyBorder="1" applyAlignment="1" applyProtection="1">
      <alignment horizontal="center" vertical="center"/>
      <protection hidden="1"/>
    </xf>
    <xf numFmtId="178" fontId="8" fillId="6" borderId="42" xfId="0" applyNumberFormat="1" applyFont="1" applyFill="1" applyBorder="1" applyAlignment="1" applyProtection="1">
      <alignment horizontal="left" vertical="center" shrinkToFit="1"/>
      <protection locked="0"/>
    </xf>
    <xf numFmtId="185" fontId="4" fillId="6" borderId="2" xfId="0" applyNumberFormat="1" applyFont="1" applyFill="1" applyBorder="1" applyAlignment="1" applyProtection="1">
      <alignment horizontal="center" vertical="center"/>
      <protection locked="0"/>
    </xf>
    <xf numFmtId="185" fontId="4" fillId="6" borderId="2" xfId="0" applyNumberFormat="1" applyFont="1" applyFill="1" applyBorder="1" applyAlignment="1" applyProtection="1">
      <alignment horizontal="right" vertical="center" shrinkToFit="1"/>
      <protection locked="0"/>
    </xf>
    <xf numFmtId="179" fontId="17" fillId="3" borderId="6" xfId="0" applyNumberFormat="1" applyFont="1" applyFill="1" applyBorder="1" applyAlignment="1" applyProtection="1">
      <alignment horizontal="right" vertical="center" shrinkToFit="1"/>
      <protection hidden="1"/>
    </xf>
    <xf numFmtId="198" fontId="4" fillId="6" borderId="5" xfId="0" applyNumberFormat="1" applyFont="1" applyFill="1" applyBorder="1" applyAlignment="1" applyProtection="1">
      <alignment horizontal="center" vertical="center"/>
      <protection locked="0"/>
    </xf>
    <xf numFmtId="183" fontId="17" fillId="3" borderId="20" xfId="0" applyNumberFormat="1" applyFont="1" applyFill="1" applyBorder="1" applyAlignment="1" applyProtection="1">
      <alignment horizontal="center" vertical="center" shrinkToFit="1"/>
      <protection hidden="1"/>
    </xf>
    <xf numFmtId="185" fontId="4" fillId="6" borderId="5" xfId="0" applyNumberFormat="1" applyFont="1" applyFill="1" applyBorder="1" applyAlignment="1" applyProtection="1">
      <alignment horizontal="center" vertical="center"/>
      <protection locked="0"/>
    </xf>
    <xf numFmtId="183" fontId="17" fillId="3" borderId="2" xfId="0" applyNumberFormat="1" applyFont="1" applyFill="1" applyBorder="1" applyAlignment="1" applyProtection="1">
      <alignment horizontal="center" vertical="center" shrinkToFit="1"/>
      <protection hidden="1"/>
    </xf>
    <xf numFmtId="184" fontId="17" fillId="3" borderId="2" xfId="0" applyNumberFormat="1" applyFont="1" applyFill="1" applyBorder="1" applyAlignment="1" applyProtection="1">
      <alignment horizontal="right" vertical="center" shrinkToFit="1"/>
      <protection hidden="1"/>
    </xf>
    <xf numFmtId="183" fontId="4" fillId="6" borderId="44" xfId="0" applyNumberFormat="1" applyFont="1" applyFill="1" applyBorder="1" applyAlignment="1" applyProtection="1">
      <alignment horizontal="right" vertical="center" shrinkToFit="1"/>
      <protection locked="0"/>
    </xf>
    <xf numFmtId="177" fontId="16" fillId="6" borderId="2" xfId="0" applyNumberFormat="1" applyFont="1" applyFill="1" applyBorder="1" applyAlignment="1" applyProtection="1">
      <alignment horizontal="center" vertical="center"/>
      <protection locked="0"/>
    </xf>
    <xf numFmtId="189" fontId="4" fillId="6" borderId="2" xfId="0" applyNumberFormat="1" applyFont="1" applyFill="1" applyBorder="1" applyAlignment="1" applyProtection="1">
      <alignment horizontal="right" vertical="center" shrinkToFit="1"/>
      <protection locked="0"/>
    </xf>
    <xf numFmtId="190" fontId="4" fillId="6" borderId="13" xfId="0" applyNumberFormat="1" applyFont="1" applyFill="1" applyBorder="1" applyAlignment="1" applyProtection="1">
      <alignment horizontal="right" vertical="center" shrinkToFit="1"/>
      <protection locked="0"/>
    </xf>
    <xf numFmtId="183" fontId="4" fillId="6" borderId="5" xfId="0" applyNumberFormat="1" applyFont="1" applyFill="1" applyBorder="1" applyAlignment="1" applyProtection="1">
      <alignment horizontal="right" vertical="center" shrinkToFit="1"/>
      <protection locked="0"/>
    </xf>
    <xf numFmtId="190" fontId="4" fillId="6" borderId="12" xfId="0" applyNumberFormat="1" applyFont="1" applyFill="1" applyBorder="1" applyAlignment="1" applyProtection="1">
      <alignment horizontal="right" vertical="center" shrinkToFit="1"/>
      <protection locked="0"/>
    </xf>
    <xf numFmtId="178" fontId="8" fillId="6" borderId="34" xfId="0" applyNumberFormat="1" applyFont="1" applyFill="1" applyBorder="1" applyAlignment="1" applyProtection="1">
      <alignment horizontal="left" vertical="center" shrinkToFit="1"/>
      <protection locked="0"/>
    </xf>
    <xf numFmtId="185" fontId="4" fillId="6" borderId="31" xfId="0" applyNumberFormat="1" applyFont="1" applyFill="1" applyBorder="1" applyAlignment="1" applyProtection="1">
      <alignment horizontal="center" vertical="center"/>
      <protection locked="0"/>
    </xf>
    <xf numFmtId="185" fontId="4" fillId="6" borderId="31" xfId="0" applyNumberFormat="1" applyFont="1" applyFill="1" applyBorder="1" applyAlignment="1" applyProtection="1">
      <alignment horizontal="right" vertical="center" shrinkToFit="1"/>
      <protection locked="0"/>
    </xf>
    <xf numFmtId="179" fontId="17" fillId="3" borderId="46" xfId="0" applyNumberFormat="1" applyFont="1" applyFill="1" applyBorder="1" applyAlignment="1" applyProtection="1">
      <alignment horizontal="right" vertical="center" shrinkToFit="1"/>
      <protection hidden="1"/>
    </xf>
    <xf numFmtId="198" fontId="4" fillId="6" borderId="31" xfId="0" applyNumberFormat="1" applyFont="1" applyFill="1" applyBorder="1" applyAlignment="1" applyProtection="1">
      <alignment horizontal="center" vertical="center"/>
      <protection locked="0"/>
    </xf>
    <xf numFmtId="183" fontId="17" fillId="3" borderId="31" xfId="0" applyNumberFormat="1" applyFont="1" applyFill="1" applyBorder="1" applyAlignment="1" applyProtection="1">
      <alignment horizontal="center" vertical="center" shrinkToFit="1"/>
      <protection hidden="1"/>
    </xf>
    <xf numFmtId="184" fontId="17" fillId="3" borderId="31" xfId="0" applyNumberFormat="1" applyFont="1" applyFill="1" applyBorder="1" applyAlignment="1" applyProtection="1">
      <alignment horizontal="right" vertical="center" shrinkToFit="1"/>
      <protection hidden="1"/>
    </xf>
    <xf numFmtId="0" fontId="33" fillId="2" borderId="0" xfId="0" applyFont="1" applyFill="1" applyBorder="1" applyAlignment="1" applyProtection="1">
      <alignment horizontal="left" vertical="center"/>
      <protection hidden="1"/>
    </xf>
    <xf numFmtId="202" fontId="4" fillId="6" borderId="37" xfId="0" applyNumberFormat="1" applyFont="1" applyFill="1" applyBorder="1" applyAlignment="1" applyProtection="1">
      <alignment horizontal="right" vertical="center" shrinkToFit="1"/>
      <protection locked="0"/>
    </xf>
    <xf numFmtId="202" fontId="4" fillId="6" borderId="4" xfId="0" applyNumberFormat="1" applyFont="1" applyFill="1" applyBorder="1" applyAlignment="1" applyProtection="1">
      <alignment horizontal="right" vertical="center" shrinkToFit="1"/>
      <protection locked="0"/>
    </xf>
    <xf numFmtId="202" fontId="4" fillId="6" borderId="2" xfId="0" applyNumberFormat="1" applyFont="1" applyFill="1" applyBorder="1" applyAlignment="1" applyProtection="1">
      <alignment horizontal="right" vertical="center" shrinkToFit="1"/>
      <protection locked="0"/>
    </xf>
    <xf numFmtId="202" fontId="4" fillId="6" borderId="31" xfId="0" applyNumberFormat="1" applyFont="1" applyFill="1" applyBorder="1" applyAlignment="1" applyProtection="1">
      <alignment horizontal="right" vertical="center" shrinkToFit="1"/>
      <protection locked="0"/>
    </xf>
    <xf numFmtId="0" fontId="7" fillId="3" borderId="43" xfId="4" applyFont="1" applyFill="1" applyBorder="1" applyAlignment="1" applyProtection="1">
      <alignment horizontal="left" vertical="center" wrapText="1"/>
      <protection hidden="1"/>
    </xf>
    <xf numFmtId="0" fontId="11" fillId="3" borderId="43" xfId="0" applyFont="1" applyFill="1" applyBorder="1" applyAlignment="1" applyProtection="1">
      <alignment horizontal="left" vertical="center" shrinkToFit="1"/>
      <protection locked="0"/>
    </xf>
    <xf numFmtId="49" fontId="92" fillId="6" borderId="14" xfId="2" applyNumberFormat="1" applyFont="1" applyFill="1" applyBorder="1" applyAlignment="1" applyProtection="1">
      <alignment horizontal="center" vertical="center" wrapText="1" shrinkToFit="1"/>
      <protection hidden="1"/>
    </xf>
    <xf numFmtId="49" fontId="8" fillId="6" borderId="39" xfId="0" applyNumberFormat="1" applyFont="1" applyFill="1" applyBorder="1" applyAlignment="1" applyProtection="1">
      <alignment horizontal="center" shrinkToFit="1"/>
      <protection locked="0"/>
    </xf>
    <xf numFmtId="49" fontId="8" fillId="6" borderId="58" xfId="0" applyNumberFormat="1" applyFont="1" applyFill="1" applyBorder="1" applyAlignment="1" applyProtection="1">
      <alignment horizontal="center" shrinkToFit="1"/>
      <protection locked="0"/>
    </xf>
    <xf numFmtId="49" fontId="8" fillId="6" borderId="59" xfId="0" applyNumberFormat="1" applyFont="1" applyFill="1" applyBorder="1" applyAlignment="1" applyProtection="1">
      <alignment horizontal="center" shrinkToFit="1"/>
      <protection locked="0"/>
    </xf>
    <xf numFmtId="49" fontId="8" fillId="6" borderId="19" xfId="0" applyNumberFormat="1" applyFont="1" applyFill="1" applyBorder="1" applyAlignment="1" applyProtection="1">
      <alignment horizontal="center" shrinkToFit="1"/>
      <protection locked="0"/>
    </xf>
    <xf numFmtId="195" fontId="20" fillId="3" borderId="52" xfId="4" applyNumberFormat="1" applyFont="1" applyFill="1" applyBorder="1" applyAlignment="1" applyProtection="1">
      <alignment horizontal="center" vertical="center" shrinkToFit="1"/>
      <protection hidden="1"/>
    </xf>
    <xf numFmtId="195" fontId="20" fillId="3" borderId="12" xfId="4" applyNumberFormat="1" applyFont="1" applyFill="1" applyBorder="1" applyAlignment="1" applyProtection="1">
      <alignment horizontal="center" vertical="center" shrinkToFit="1"/>
      <protection hidden="1"/>
    </xf>
    <xf numFmtId="192" fontId="17" fillId="3" borderId="17" xfId="4" applyNumberFormat="1" applyFont="1" applyFill="1" applyBorder="1" applyAlignment="1" applyProtection="1">
      <alignment horizontal="center" vertical="center" shrinkToFit="1"/>
      <protection hidden="1"/>
    </xf>
    <xf numFmtId="192" fontId="17" fillId="3" borderId="24" xfId="4" applyNumberFormat="1" applyFont="1" applyFill="1" applyBorder="1" applyAlignment="1" applyProtection="1">
      <alignment horizontal="center" vertical="center" shrinkToFit="1"/>
      <protection hidden="1"/>
    </xf>
    <xf numFmtId="184" fontId="17" fillId="3" borderId="17" xfId="0" applyNumberFormat="1" applyFont="1" applyFill="1" applyBorder="1" applyAlignment="1" applyProtection="1">
      <alignment horizontal="center" vertical="center" shrinkToFit="1"/>
      <protection hidden="1"/>
    </xf>
    <xf numFmtId="184" fontId="17" fillId="3" borderId="28" xfId="0" applyNumberFormat="1" applyFont="1" applyFill="1" applyBorder="1" applyAlignment="1" applyProtection="1">
      <alignment horizontal="center" vertical="center" shrinkToFit="1"/>
      <protection hidden="1"/>
    </xf>
    <xf numFmtId="49" fontId="4" fillId="6" borderId="53" xfId="0" applyNumberFormat="1" applyFont="1" applyFill="1" applyBorder="1" applyAlignment="1" applyProtection="1">
      <alignment horizontal="center" vertical="top" shrinkToFit="1"/>
      <protection locked="0"/>
    </xf>
    <xf numFmtId="49" fontId="4" fillId="6" borderId="54" xfId="0" applyNumberFormat="1" applyFont="1" applyFill="1" applyBorder="1" applyAlignment="1" applyProtection="1">
      <alignment horizontal="center" vertical="top" shrinkToFit="1"/>
      <protection locked="0"/>
    </xf>
    <xf numFmtId="49" fontId="4" fillId="6" borderId="17" xfId="0" applyNumberFormat="1" applyFont="1" applyFill="1" applyBorder="1" applyAlignment="1" applyProtection="1">
      <alignment horizontal="center" vertical="top" shrinkToFit="1"/>
      <protection locked="0"/>
    </xf>
    <xf numFmtId="49" fontId="4" fillId="6" borderId="28" xfId="0" applyNumberFormat="1" applyFont="1" applyFill="1" applyBorder="1" applyAlignment="1" applyProtection="1">
      <alignment horizontal="center" vertical="top" shrinkToFit="1"/>
      <protection locked="0"/>
    </xf>
    <xf numFmtId="196" fontId="21" fillId="3" borderId="26" xfId="0" applyNumberFormat="1" applyFont="1" applyFill="1" applyBorder="1" applyAlignment="1" applyProtection="1">
      <alignment horizontal="right" vertical="center" shrinkToFit="1"/>
      <protection hidden="1"/>
    </xf>
    <xf numFmtId="196" fontId="21" fillId="3" borderId="47" xfId="0" applyNumberFormat="1" applyFont="1" applyFill="1" applyBorder="1" applyAlignment="1" applyProtection="1">
      <alignment horizontal="right" vertical="center" shrinkToFit="1"/>
      <protection hidden="1"/>
    </xf>
    <xf numFmtId="188" fontId="21" fillId="3" borderId="47" xfId="0" applyNumberFormat="1" applyFont="1" applyFill="1" applyBorder="1" applyAlignment="1" applyProtection="1">
      <alignment horizontal="left" vertical="center" shrinkToFit="1"/>
      <protection hidden="1"/>
    </xf>
    <xf numFmtId="188" fontId="21" fillId="3" borderId="27" xfId="0" applyNumberFormat="1" applyFont="1" applyFill="1" applyBorder="1" applyAlignment="1" applyProtection="1">
      <alignment horizontal="left" vertical="center" shrinkToFit="1"/>
      <protection hidden="1"/>
    </xf>
    <xf numFmtId="196" fontId="21" fillId="3" borderId="46" xfId="0" applyNumberFormat="1" applyFont="1" applyFill="1" applyBorder="1" applyAlignment="1" applyProtection="1">
      <alignment horizontal="right" vertical="center" shrinkToFit="1"/>
      <protection hidden="1"/>
    </xf>
    <xf numFmtId="183" fontId="4" fillId="6" borderId="40" xfId="0" applyNumberFormat="1" applyFont="1" applyFill="1" applyBorder="1" applyAlignment="1" applyProtection="1">
      <alignment horizontal="center" vertical="center" shrinkToFit="1"/>
      <protection locked="0"/>
    </xf>
    <xf numFmtId="183" fontId="4" fillId="6" borderId="24" xfId="0" applyNumberFormat="1" applyFont="1" applyFill="1" applyBorder="1" applyAlignment="1" applyProtection="1">
      <alignment horizontal="center" vertical="center" shrinkToFit="1"/>
      <protection locked="0"/>
    </xf>
    <xf numFmtId="49" fontId="4" fillId="6" borderId="39" xfId="0" applyNumberFormat="1" applyFont="1" applyFill="1" applyBorder="1" applyAlignment="1" applyProtection="1">
      <alignment horizontal="center" vertical="center" wrapText="1"/>
      <protection locked="0"/>
    </xf>
    <xf numFmtId="49" fontId="4" fillId="6" borderId="60" xfId="0" applyNumberFormat="1" applyFont="1" applyFill="1" applyBorder="1" applyAlignment="1" applyProtection="1">
      <alignment horizontal="center" vertical="center" wrapText="1"/>
      <protection locked="0"/>
    </xf>
    <xf numFmtId="49" fontId="4" fillId="6" borderId="61" xfId="0" applyNumberFormat="1" applyFont="1" applyFill="1" applyBorder="1" applyAlignment="1" applyProtection="1">
      <alignment horizontal="center" vertical="center" wrapText="1"/>
      <protection locked="0"/>
    </xf>
    <xf numFmtId="49" fontId="4" fillId="6" borderId="59" xfId="0" applyNumberFormat="1" applyFont="1" applyFill="1" applyBorder="1" applyAlignment="1" applyProtection="1">
      <alignment horizontal="center" vertical="center" wrapText="1"/>
      <protection locked="0"/>
    </xf>
    <xf numFmtId="49" fontId="4" fillId="6" borderId="1" xfId="0" applyNumberFormat="1" applyFont="1" applyFill="1" applyBorder="1" applyAlignment="1" applyProtection="1">
      <alignment horizontal="center" vertical="center" wrapText="1"/>
      <protection locked="0"/>
    </xf>
    <xf numFmtId="49" fontId="4" fillId="6" borderId="20" xfId="0" applyNumberFormat="1" applyFont="1" applyFill="1" applyBorder="1" applyAlignment="1" applyProtection="1">
      <alignment horizontal="center" vertical="center" wrapText="1"/>
      <protection locked="0"/>
    </xf>
    <xf numFmtId="49" fontId="11" fillId="6" borderId="62" xfId="0" applyNumberFormat="1" applyFont="1" applyFill="1" applyBorder="1" applyAlignment="1" applyProtection="1">
      <alignment horizontal="center" vertical="center" wrapText="1"/>
      <protection locked="0"/>
    </xf>
    <xf numFmtId="49" fontId="11" fillId="6" borderId="18" xfId="0" applyNumberFormat="1" applyFont="1" applyFill="1" applyBorder="1" applyAlignment="1" applyProtection="1">
      <alignment horizontal="center" vertical="center" wrapText="1"/>
      <protection locked="0"/>
    </xf>
    <xf numFmtId="49" fontId="4" fillId="6" borderId="62" xfId="0" applyNumberFormat="1" applyFont="1" applyFill="1" applyBorder="1" applyAlignment="1" applyProtection="1">
      <alignment horizontal="center" vertical="center" wrapText="1"/>
      <protection locked="0"/>
    </xf>
    <xf numFmtId="49" fontId="4" fillId="6" borderId="18" xfId="0" applyNumberFormat="1" applyFont="1" applyFill="1" applyBorder="1" applyAlignment="1" applyProtection="1">
      <alignment horizontal="center" vertical="center" wrapText="1"/>
      <protection locked="0"/>
    </xf>
    <xf numFmtId="0" fontId="11" fillId="6" borderId="40" xfId="0" applyNumberFormat="1" applyFont="1" applyFill="1" applyBorder="1" applyAlignment="1" applyProtection="1">
      <alignment horizontal="center" vertical="center" wrapText="1"/>
      <protection locked="0"/>
    </xf>
    <xf numFmtId="0" fontId="11" fillId="6" borderId="24" xfId="0" applyNumberFormat="1" applyFont="1" applyFill="1" applyBorder="1" applyAlignment="1" applyProtection="1">
      <alignment horizontal="center" vertical="center" wrapText="1"/>
      <protection locked="0"/>
    </xf>
    <xf numFmtId="194" fontId="17" fillId="3" borderId="56" xfId="4" applyNumberFormat="1" applyFont="1" applyFill="1" applyBorder="1" applyAlignment="1" applyProtection="1">
      <alignment horizontal="center" vertical="center" shrinkToFit="1"/>
      <protection hidden="1"/>
    </xf>
    <xf numFmtId="194" fontId="17" fillId="3" borderId="57" xfId="4" applyNumberFormat="1" applyFont="1" applyFill="1" applyBorder="1" applyAlignment="1" applyProtection="1">
      <alignment horizontal="center" vertical="center" shrinkToFit="1"/>
      <protection hidden="1"/>
    </xf>
    <xf numFmtId="184" fontId="17" fillId="3" borderId="35" xfId="0" applyNumberFormat="1" applyFont="1" applyFill="1" applyBorder="1" applyAlignment="1" applyProtection="1">
      <alignment horizontal="center" vertical="center" shrinkToFit="1"/>
      <protection hidden="1"/>
    </xf>
    <xf numFmtId="184" fontId="17" fillId="3" borderId="5" xfId="0" applyNumberFormat="1" applyFont="1" applyFill="1" applyBorder="1" applyAlignment="1" applyProtection="1">
      <alignment horizontal="center" vertical="center" shrinkToFit="1"/>
      <protection hidden="1"/>
    </xf>
    <xf numFmtId="191" fontId="18" fillId="3" borderId="26" xfId="0" applyNumberFormat="1" applyFont="1" applyFill="1" applyBorder="1" applyAlignment="1" applyProtection="1">
      <alignment horizontal="center" vertical="center"/>
      <protection hidden="1"/>
    </xf>
    <xf numFmtId="191" fontId="18" fillId="3" borderId="27" xfId="0" applyNumberFormat="1" applyFont="1" applyFill="1" applyBorder="1" applyAlignment="1" applyProtection="1">
      <alignment horizontal="center" vertical="center"/>
      <protection hidden="1"/>
    </xf>
    <xf numFmtId="0" fontId="18" fillId="3" borderId="60" xfId="0" applyNumberFormat="1" applyFont="1" applyFill="1" applyBorder="1" applyAlignment="1" applyProtection="1">
      <alignment horizontal="center" vertical="center"/>
      <protection hidden="1"/>
    </xf>
    <xf numFmtId="0" fontId="18" fillId="3" borderId="1" xfId="0" applyNumberFormat="1" applyFont="1" applyFill="1" applyBorder="1" applyAlignment="1" applyProtection="1">
      <alignment horizontal="center" vertical="center"/>
      <protection hidden="1"/>
    </xf>
    <xf numFmtId="188" fontId="21" fillId="3" borderId="55" xfId="0" applyNumberFormat="1" applyFont="1" applyFill="1" applyBorder="1" applyAlignment="1" applyProtection="1">
      <alignment horizontal="left" vertical="center" shrinkToFit="1"/>
      <protection hidden="1"/>
    </xf>
    <xf numFmtId="196" fontId="21" fillId="3" borderId="26" xfId="4" applyNumberFormat="1" applyFont="1" applyFill="1" applyBorder="1" applyAlignment="1" applyProtection="1">
      <alignment horizontal="right" vertical="center" shrinkToFit="1"/>
      <protection hidden="1"/>
    </xf>
    <xf numFmtId="196" fontId="21" fillId="3" borderId="47" xfId="4" applyNumberFormat="1" applyFont="1" applyFill="1" applyBorder="1" applyAlignment="1" applyProtection="1">
      <alignment horizontal="right" vertical="center" shrinkToFit="1"/>
      <protection hidden="1"/>
    </xf>
    <xf numFmtId="0" fontId="99" fillId="2" borderId="11" xfId="2" applyNumberFormat="1" applyFont="1" applyFill="1" applyBorder="1" applyAlignment="1" applyProtection="1">
      <alignment horizontal="right" vertical="center" shrinkToFit="1"/>
      <protection hidden="1"/>
    </xf>
    <xf numFmtId="0" fontId="18" fillId="3" borderId="58" xfId="0" applyNumberFormat="1" applyFont="1" applyFill="1" applyBorder="1" applyAlignment="1" applyProtection="1">
      <alignment horizontal="center" vertical="center"/>
      <protection hidden="1"/>
    </xf>
    <xf numFmtId="0" fontId="18" fillId="3" borderId="19" xfId="0" applyNumberFormat="1" applyFont="1" applyFill="1" applyBorder="1" applyAlignment="1" applyProtection="1">
      <alignment horizontal="center" vertical="center"/>
      <protection hidden="1"/>
    </xf>
    <xf numFmtId="0" fontId="96" fillId="3" borderId="8" xfId="0" applyFont="1" applyFill="1" applyBorder="1" applyAlignment="1" applyProtection="1">
      <alignment horizontal="left" vertical="center" wrapText="1"/>
      <protection locked="0"/>
    </xf>
    <xf numFmtId="0" fontId="96" fillId="3" borderId="10" xfId="0" applyFont="1" applyFill="1" applyBorder="1" applyAlignment="1" applyProtection="1">
      <alignment horizontal="left" vertical="center" wrapText="1"/>
      <protection locked="0"/>
    </xf>
    <xf numFmtId="0" fontId="5" fillId="0" borderId="68" xfId="4" applyFont="1" applyFill="1" applyBorder="1" applyAlignment="1" applyProtection="1">
      <alignment horizontal="center" vertical="center" wrapText="1"/>
      <protection hidden="1"/>
    </xf>
    <xf numFmtId="0" fontId="5" fillId="0" borderId="69" xfId="4" applyFont="1" applyFill="1" applyBorder="1" applyAlignment="1" applyProtection="1">
      <alignment horizontal="center" vertical="center" wrapText="1"/>
      <protection hidden="1"/>
    </xf>
    <xf numFmtId="0" fontId="5" fillId="0" borderId="70" xfId="4" applyFont="1" applyFill="1" applyBorder="1" applyAlignment="1" applyProtection="1">
      <alignment horizontal="center" vertical="center" wrapText="1"/>
      <protection hidden="1"/>
    </xf>
    <xf numFmtId="0" fontId="5" fillId="0" borderId="71" xfId="4" applyFont="1" applyFill="1" applyBorder="1" applyAlignment="1" applyProtection="1">
      <alignment horizontal="center" vertical="center" wrapText="1"/>
      <protection hidden="1"/>
    </xf>
    <xf numFmtId="49" fontId="8" fillId="6" borderId="39" xfId="4" applyNumberFormat="1" applyFont="1" applyFill="1" applyBorder="1" applyAlignment="1" applyProtection="1">
      <alignment horizontal="center" shrinkToFit="1"/>
      <protection locked="0"/>
    </xf>
    <xf numFmtId="49" fontId="8" fillId="6" borderId="58" xfId="4" applyNumberFormat="1" applyFont="1" applyFill="1" applyBorder="1" applyAlignment="1" applyProtection="1">
      <alignment horizontal="center" shrinkToFit="1"/>
      <protection locked="0"/>
    </xf>
    <xf numFmtId="49" fontId="8" fillId="6" borderId="59" xfId="4" applyNumberFormat="1" applyFont="1" applyFill="1" applyBorder="1" applyAlignment="1" applyProtection="1">
      <alignment horizontal="center" shrinkToFit="1"/>
      <protection locked="0"/>
    </xf>
    <xf numFmtId="49" fontId="8" fillId="6" borderId="19" xfId="4" applyNumberFormat="1" applyFont="1" applyFill="1" applyBorder="1" applyAlignment="1" applyProtection="1">
      <alignment horizontal="center" shrinkToFit="1"/>
      <protection locked="0"/>
    </xf>
    <xf numFmtId="49" fontId="4" fillId="6" borderId="17" xfId="4" applyNumberFormat="1" applyFont="1" applyFill="1" applyBorder="1" applyAlignment="1" applyProtection="1">
      <alignment horizontal="center" vertical="top" shrinkToFit="1"/>
      <protection locked="0"/>
    </xf>
    <xf numFmtId="49" fontId="4" fillId="6" borderId="28" xfId="4" applyNumberFormat="1" applyFont="1" applyFill="1" applyBorder="1" applyAlignment="1" applyProtection="1">
      <alignment horizontal="center" vertical="top" shrinkToFit="1"/>
      <protection locked="0"/>
    </xf>
    <xf numFmtId="0" fontId="2" fillId="3" borderId="72" xfId="4" applyNumberFormat="1" applyFont="1" applyFill="1" applyBorder="1" applyAlignment="1" applyProtection="1">
      <alignment horizontal="center" vertical="center" shrinkToFit="1"/>
      <protection hidden="1"/>
    </xf>
    <xf numFmtId="0" fontId="2" fillId="3" borderId="73" xfId="4" applyNumberFormat="1" applyFont="1" applyFill="1" applyBorder="1" applyAlignment="1" applyProtection="1">
      <alignment horizontal="center" vertical="center" shrinkToFit="1"/>
      <protection hidden="1"/>
    </xf>
    <xf numFmtId="0" fontId="2" fillId="3" borderId="74" xfId="4" applyNumberFormat="1" applyFont="1" applyFill="1" applyBorder="1" applyAlignment="1" applyProtection="1">
      <alignment horizontal="center" vertical="center" shrinkToFit="1"/>
      <protection hidden="1"/>
    </xf>
    <xf numFmtId="181" fontId="4" fillId="3" borderId="52" xfId="4" applyNumberFormat="1" applyFont="1" applyFill="1" applyBorder="1" applyAlignment="1" applyProtection="1">
      <alignment horizontal="center" vertical="center" shrinkToFit="1"/>
      <protection hidden="1"/>
    </xf>
    <xf numFmtId="181" fontId="4" fillId="3" borderId="12" xfId="4" applyNumberFormat="1" applyFont="1" applyFill="1" applyBorder="1" applyAlignment="1" applyProtection="1">
      <alignment horizontal="center" vertical="center" shrinkToFit="1"/>
      <protection hidden="1"/>
    </xf>
    <xf numFmtId="49" fontId="4" fillId="6" borderId="53" xfId="4" applyNumberFormat="1" applyFont="1" applyFill="1" applyBorder="1" applyAlignment="1" applyProtection="1">
      <alignment horizontal="center" vertical="top" shrinkToFit="1"/>
      <protection locked="0"/>
    </xf>
    <xf numFmtId="49" fontId="4" fillId="6" borderId="54" xfId="4" applyNumberFormat="1" applyFont="1" applyFill="1" applyBorder="1" applyAlignment="1" applyProtection="1">
      <alignment horizontal="center" vertical="top" shrinkToFit="1"/>
      <protection locked="0"/>
    </xf>
    <xf numFmtId="0" fontId="10" fillId="3" borderId="26" xfId="4" applyFont="1" applyFill="1" applyBorder="1" applyAlignment="1" applyProtection="1">
      <alignment horizontal="center" vertical="center" shrinkToFit="1"/>
      <protection hidden="1"/>
    </xf>
    <xf numFmtId="0" fontId="8" fillId="3" borderId="47" xfId="4" applyFont="1" applyFill="1" applyBorder="1" applyAlignment="1" applyProtection="1">
      <alignment horizontal="center" vertical="center" shrinkToFit="1"/>
      <protection hidden="1"/>
    </xf>
    <xf numFmtId="0" fontId="8" fillId="3" borderId="55" xfId="4" applyFont="1" applyFill="1" applyBorder="1" applyAlignment="1" applyProtection="1">
      <alignment horizontal="center" vertical="center" shrinkToFit="1"/>
      <protection hidden="1"/>
    </xf>
    <xf numFmtId="0" fontId="2" fillId="3" borderId="79" xfId="4" applyFont="1" applyFill="1" applyBorder="1" applyAlignment="1" applyProtection="1">
      <alignment horizontal="center" vertical="center"/>
      <protection hidden="1"/>
    </xf>
    <xf numFmtId="0" fontId="2" fillId="3" borderId="43" xfId="4" applyFont="1" applyFill="1" applyBorder="1" applyAlignment="1" applyProtection="1">
      <alignment horizontal="center" vertical="center"/>
      <protection hidden="1"/>
    </xf>
    <xf numFmtId="0" fontId="2" fillId="3" borderId="48" xfId="4" applyFont="1" applyFill="1" applyBorder="1" applyAlignment="1" applyProtection="1">
      <alignment horizontal="center" vertical="center"/>
      <protection hidden="1"/>
    </xf>
    <xf numFmtId="0" fontId="2" fillId="3" borderId="59" xfId="4" applyFont="1" applyFill="1" applyBorder="1" applyAlignment="1" applyProtection="1">
      <alignment horizontal="center" vertical="center" shrinkToFit="1"/>
      <protection hidden="1"/>
    </xf>
    <xf numFmtId="0" fontId="2" fillId="3" borderId="19" xfId="4" applyFont="1" applyFill="1" applyBorder="1" applyAlignment="1" applyProtection="1">
      <alignment horizontal="center" vertical="center" shrinkToFit="1"/>
      <protection hidden="1"/>
    </xf>
    <xf numFmtId="0" fontId="8" fillId="3" borderId="52" xfId="4" applyFont="1" applyFill="1" applyBorder="1" applyAlignment="1" applyProtection="1">
      <alignment horizontal="center" vertical="center" shrinkToFit="1"/>
      <protection hidden="1"/>
    </xf>
    <xf numFmtId="0" fontId="7" fillId="3" borderId="64" xfId="4" applyFont="1" applyFill="1" applyBorder="1" applyAlignment="1" applyProtection="1">
      <alignment horizontal="center" vertical="center" shrinkToFit="1"/>
      <protection hidden="1"/>
    </xf>
    <xf numFmtId="0" fontId="2" fillId="3" borderId="75" xfId="4" applyFont="1" applyFill="1" applyBorder="1" applyAlignment="1" applyProtection="1">
      <alignment horizontal="center" vertical="center"/>
      <protection hidden="1"/>
    </xf>
    <xf numFmtId="0" fontId="2" fillId="3" borderId="73" xfId="4" applyFont="1" applyFill="1" applyBorder="1" applyAlignment="1" applyProtection="1">
      <alignment horizontal="center" vertical="center"/>
      <protection hidden="1"/>
    </xf>
    <xf numFmtId="0" fontId="2" fillId="3" borderId="74" xfId="4" applyFont="1" applyFill="1" applyBorder="1" applyAlignment="1" applyProtection="1">
      <alignment horizontal="center" vertical="center"/>
      <protection hidden="1"/>
    </xf>
    <xf numFmtId="0" fontId="8" fillId="3" borderId="6" xfId="4" applyFont="1" applyFill="1" applyBorder="1" applyAlignment="1" applyProtection="1">
      <alignment horizontal="center" vertical="center"/>
      <protection hidden="1"/>
    </xf>
    <xf numFmtId="0" fontId="4" fillId="3" borderId="13" xfId="4" applyFont="1" applyFill="1" applyBorder="1" applyAlignment="1" applyProtection="1">
      <alignment horizontal="center" vertical="center"/>
      <protection hidden="1"/>
    </xf>
    <xf numFmtId="0" fontId="4" fillId="3" borderId="12" xfId="4" applyFont="1" applyFill="1" applyBorder="1" applyAlignment="1" applyProtection="1">
      <alignment horizontal="center" vertical="center"/>
      <protection hidden="1"/>
    </xf>
    <xf numFmtId="0" fontId="8" fillId="3" borderId="3" xfId="4" applyFont="1" applyFill="1" applyBorder="1" applyAlignment="1" applyProtection="1">
      <alignment horizontal="center" vertical="top" wrapText="1"/>
      <protection hidden="1"/>
    </xf>
    <xf numFmtId="0" fontId="13" fillId="3" borderId="4" xfId="4" applyFont="1" applyFill="1" applyBorder="1" applyAlignment="1" applyProtection="1">
      <alignment horizontal="center" vertical="top" wrapText="1"/>
      <protection hidden="1"/>
    </xf>
    <xf numFmtId="181" fontId="4" fillId="3" borderId="17" xfId="4" applyNumberFormat="1" applyFont="1" applyFill="1" applyBorder="1" applyAlignment="1" applyProtection="1">
      <alignment horizontal="center" vertical="center" wrapText="1"/>
      <protection hidden="1"/>
    </xf>
    <xf numFmtId="181" fontId="4" fillId="3" borderId="24" xfId="4" applyNumberFormat="1" applyFont="1" applyFill="1" applyBorder="1" applyAlignment="1" applyProtection="1">
      <alignment horizontal="center" vertical="center" wrapText="1"/>
      <protection hidden="1"/>
    </xf>
    <xf numFmtId="0" fontId="8" fillId="3" borderId="52" xfId="4" applyFont="1" applyFill="1" applyBorder="1" applyAlignment="1" applyProtection="1">
      <alignment horizontal="center" vertical="center"/>
      <protection hidden="1"/>
    </xf>
    <xf numFmtId="0" fontId="8" fillId="3" borderId="12" xfId="4" applyFont="1" applyFill="1" applyBorder="1" applyAlignment="1" applyProtection="1">
      <alignment horizontal="center" vertical="center"/>
      <protection hidden="1"/>
    </xf>
    <xf numFmtId="0" fontId="8" fillId="3" borderId="3" xfId="4" applyFont="1" applyFill="1" applyBorder="1" applyAlignment="1" applyProtection="1">
      <alignment horizontal="center" vertical="top" textRotation="255" shrinkToFit="1"/>
      <protection hidden="1"/>
    </xf>
    <xf numFmtId="0" fontId="4" fillId="3" borderId="4" xfId="4" applyFont="1" applyFill="1" applyBorder="1" applyAlignment="1" applyProtection="1">
      <alignment horizontal="center" vertical="top" textRotation="255" shrinkToFit="1"/>
      <protection hidden="1"/>
    </xf>
    <xf numFmtId="49" fontId="95" fillId="3" borderId="76" xfId="3" applyNumberFormat="1" applyFont="1" applyFill="1" applyBorder="1" applyAlignment="1" applyProtection="1">
      <alignment horizontal="center" shrinkToFit="1"/>
      <protection locked="0"/>
    </xf>
    <xf numFmtId="49" fontId="95" fillId="3" borderId="77" xfId="3" applyNumberFormat="1" applyFont="1" applyFill="1" applyBorder="1" applyAlignment="1" applyProtection="1">
      <alignment horizontal="center" shrinkToFit="1"/>
      <protection locked="0"/>
    </xf>
    <xf numFmtId="49" fontId="95" fillId="3" borderId="78" xfId="3" applyNumberFormat="1" applyFont="1" applyFill="1" applyBorder="1" applyAlignment="1" applyProtection="1">
      <alignment horizontal="center" shrinkToFit="1"/>
      <protection locked="0"/>
    </xf>
    <xf numFmtId="49" fontId="120" fillId="3" borderId="76" xfId="4" applyNumberFormat="1" applyFont="1" applyFill="1" applyBorder="1" applyAlignment="1" applyProtection="1">
      <alignment horizontal="center" vertical="center" shrinkToFit="1"/>
      <protection hidden="1"/>
    </xf>
    <xf numFmtId="49" fontId="120" fillId="3" borderId="77" xfId="4" applyNumberFormat="1" applyFont="1" applyFill="1" applyBorder="1" applyAlignment="1" applyProtection="1">
      <alignment horizontal="center" vertical="center" shrinkToFit="1"/>
      <protection hidden="1"/>
    </xf>
    <xf numFmtId="49" fontId="120" fillId="3" borderId="78" xfId="4" applyNumberFormat="1" applyFont="1" applyFill="1" applyBorder="1" applyAlignment="1" applyProtection="1">
      <alignment horizontal="center" vertical="center" shrinkToFit="1"/>
      <protection hidden="1"/>
    </xf>
    <xf numFmtId="0" fontId="110" fillId="3" borderId="76" xfId="3" applyNumberFormat="1" applyFont="1" applyFill="1" applyBorder="1" applyAlignment="1" applyProtection="1">
      <alignment horizontal="center" vertical="center" wrapText="1"/>
      <protection locked="0"/>
    </xf>
    <xf numFmtId="0" fontId="75" fillId="3" borderId="77" xfId="3" applyNumberFormat="1" applyFont="1" applyFill="1" applyBorder="1" applyAlignment="1" applyProtection="1">
      <alignment horizontal="center" vertical="center" wrapText="1"/>
      <protection locked="0"/>
    </xf>
    <xf numFmtId="0" fontId="75" fillId="3" borderId="78" xfId="3" applyNumberFormat="1" applyFont="1" applyFill="1" applyBorder="1" applyAlignment="1" applyProtection="1">
      <alignment horizontal="center" vertical="center" wrapText="1"/>
      <protection locked="0"/>
    </xf>
    <xf numFmtId="0" fontId="57" fillId="3" borderId="76" xfId="4" applyNumberFormat="1" applyFont="1" applyFill="1" applyBorder="1" applyAlignment="1" applyProtection="1">
      <alignment horizontal="left" vertical="center" wrapText="1"/>
      <protection hidden="1"/>
    </xf>
    <xf numFmtId="0" fontId="119" fillId="3" borderId="77" xfId="4" applyNumberFormat="1" applyFont="1" applyFill="1" applyBorder="1" applyAlignment="1" applyProtection="1">
      <alignment horizontal="left" vertical="center" wrapText="1"/>
      <protection hidden="1"/>
    </xf>
    <xf numFmtId="0" fontId="119" fillId="3" borderId="78" xfId="4" applyNumberFormat="1" applyFont="1" applyFill="1" applyBorder="1" applyAlignment="1" applyProtection="1">
      <alignment horizontal="left" vertical="center" wrapText="1"/>
      <protection hidden="1"/>
    </xf>
    <xf numFmtId="49" fontId="90" fillId="3" borderId="76" xfId="3" applyNumberFormat="1" applyFont="1" applyFill="1" applyBorder="1" applyAlignment="1" applyProtection="1">
      <alignment horizontal="left" vertical="center"/>
      <protection locked="0"/>
    </xf>
    <xf numFmtId="49" fontId="90" fillId="3" borderId="77" xfId="3" applyNumberFormat="1" applyFont="1" applyFill="1" applyBorder="1" applyAlignment="1" applyProtection="1">
      <alignment horizontal="left" vertical="center"/>
      <protection locked="0"/>
    </xf>
    <xf numFmtId="49" fontId="90" fillId="3" borderId="78" xfId="3" applyNumberFormat="1" applyFont="1" applyFill="1" applyBorder="1" applyAlignment="1" applyProtection="1">
      <alignment horizontal="left" vertical="center"/>
      <protection locked="0"/>
    </xf>
    <xf numFmtId="0" fontId="2" fillId="3" borderId="80" xfId="4" applyFont="1" applyFill="1" applyBorder="1" applyAlignment="1" applyProtection="1">
      <alignment horizontal="center"/>
      <protection hidden="1"/>
    </xf>
    <xf numFmtId="0" fontId="2" fillId="3" borderId="9" xfId="4" applyFont="1" applyFill="1" applyBorder="1" applyAlignment="1" applyProtection="1">
      <alignment horizontal="center"/>
      <protection hidden="1"/>
    </xf>
    <xf numFmtId="0" fontId="2" fillId="3" borderId="69" xfId="4" applyFont="1" applyFill="1" applyBorder="1" applyAlignment="1" applyProtection="1">
      <alignment horizontal="center"/>
      <protection hidden="1"/>
    </xf>
    <xf numFmtId="0" fontId="7" fillId="3" borderId="23" xfId="4" applyFont="1" applyFill="1" applyBorder="1" applyAlignment="1" applyProtection="1">
      <alignment horizontal="right"/>
      <protection hidden="1"/>
    </xf>
    <xf numFmtId="0" fontId="7" fillId="3" borderId="0" xfId="4" applyFont="1" applyFill="1" applyBorder="1" applyAlignment="1" applyProtection="1">
      <alignment horizontal="right"/>
      <protection hidden="1"/>
    </xf>
    <xf numFmtId="0" fontId="7" fillId="3" borderId="71" xfId="4" applyFont="1" applyFill="1" applyBorder="1" applyAlignment="1" applyProtection="1">
      <alignment horizontal="right"/>
      <protection hidden="1"/>
    </xf>
    <xf numFmtId="0" fontId="7" fillId="3" borderId="53" xfId="4" applyFont="1" applyFill="1" applyBorder="1" applyAlignment="1" applyProtection="1">
      <alignment horizontal="center" vertical="center" shrinkToFit="1"/>
      <protection hidden="1"/>
    </xf>
    <xf numFmtId="0" fontId="7" fillId="3" borderId="63" xfId="4" applyFont="1" applyFill="1" applyBorder="1" applyAlignment="1" applyProtection="1">
      <alignment horizontal="center" vertical="center" shrinkToFit="1"/>
      <protection hidden="1"/>
    </xf>
    <xf numFmtId="0" fontId="7" fillId="3" borderId="54" xfId="4" applyFont="1" applyFill="1" applyBorder="1" applyAlignment="1" applyProtection="1">
      <alignment horizontal="center" vertical="center" shrinkToFit="1"/>
      <protection hidden="1"/>
    </xf>
    <xf numFmtId="0" fontId="2" fillId="3" borderId="52" xfId="4" applyFont="1" applyFill="1" applyBorder="1" applyAlignment="1" applyProtection="1">
      <alignment horizontal="center" vertical="center" wrapText="1"/>
      <protection hidden="1"/>
    </xf>
    <xf numFmtId="0" fontId="2" fillId="3" borderId="13" xfId="4" applyFont="1" applyFill="1" applyBorder="1" applyAlignment="1" applyProtection="1">
      <alignment horizontal="center" vertical="center" wrapText="1"/>
      <protection hidden="1"/>
    </xf>
    <xf numFmtId="0" fontId="2" fillId="3" borderId="12" xfId="4" applyFont="1" applyFill="1" applyBorder="1" applyAlignment="1" applyProtection="1">
      <alignment horizontal="center" vertical="center" wrapText="1"/>
      <protection hidden="1"/>
    </xf>
    <xf numFmtId="0" fontId="8" fillId="3" borderId="4" xfId="4" applyFont="1" applyFill="1" applyBorder="1" applyAlignment="1" applyProtection="1">
      <alignment horizontal="center" vertical="center" wrapText="1"/>
      <protection hidden="1"/>
    </xf>
    <xf numFmtId="0" fontId="2" fillId="3" borderId="68" xfId="4" applyFont="1" applyFill="1" applyBorder="1" applyAlignment="1" applyProtection="1">
      <alignment horizontal="center" vertical="center"/>
      <protection hidden="1"/>
    </xf>
    <xf numFmtId="0" fontId="2" fillId="0" borderId="9" xfId="4" applyBorder="1"/>
    <xf numFmtId="0" fontId="2" fillId="0" borderId="74" xfId="4" applyBorder="1"/>
    <xf numFmtId="0" fontId="2" fillId="3" borderId="72" xfId="4" applyFont="1" applyFill="1" applyBorder="1" applyAlignment="1" applyProtection="1">
      <alignment horizontal="center" vertical="center"/>
      <protection hidden="1"/>
    </xf>
    <xf numFmtId="0" fontId="2" fillId="0" borderId="73" xfId="4" applyBorder="1"/>
    <xf numFmtId="184" fontId="17" fillId="3" borderId="35" xfId="4" applyNumberFormat="1" applyFont="1" applyFill="1" applyBorder="1" applyAlignment="1" applyProtection="1">
      <alignment horizontal="center" vertical="center" shrinkToFit="1"/>
      <protection hidden="1"/>
    </xf>
    <xf numFmtId="184" fontId="17" fillId="3" borderId="5" xfId="4" applyNumberFormat="1" applyFont="1" applyFill="1" applyBorder="1" applyAlignment="1" applyProtection="1">
      <alignment horizontal="center" vertical="center" shrinkToFit="1"/>
      <protection hidden="1"/>
    </xf>
    <xf numFmtId="0" fontId="2" fillId="3" borderId="81" xfId="4" applyFont="1" applyFill="1" applyBorder="1" applyAlignment="1" applyProtection="1">
      <alignment horizontal="center" vertical="center" wrapText="1"/>
      <protection hidden="1"/>
    </xf>
    <xf numFmtId="0" fontId="2" fillId="3" borderId="66" xfId="4" applyFont="1" applyFill="1" applyBorder="1" applyAlignment="1" applyProtection="1">
      <alignment horizontal="center" vertical="center" wrapText="1"/>
      <protection hidden="1"/>
    </xf>
    <xf numFmtId="0" fontId="2" fillId="3" borderId="67" xfId="4" applyFont="1" applyFill="1" applyBorder="1" applyAlignment="1" applyProtection="1">
      <alignment horizontal="center" vertical="center" wrapText="1"/>
      <protection hidden="1"/>
    </xf>
    <xf numFmtId="0" fontId="2" fillId="3" borderId="82" xfId="4" applyFont="1" applyFill="1" applyBorder="1" applyAlignment="1" applyProtection="1">
      <alignment horizontal="center" vertical="center"/>
      <protection hidden="1"/>
    </xf>
    <xf numFmtId="0" fontId="8" fillId="3" borderId="83" xfId="4" applyFont="1" applyFill="1" applyBorder="1" applyAlignment="1" applyProtection="1">
      <alignment horizontal="center" vertical="top" wrapText="1"/>
      <protection hidden="1"/>
    </xf>
    <xf numFmtId="0" fontId="8" fillId="3" borderId="23" xfId="4" applyFont="1" applyFill="1" applyBorder="1" applyAlignment="1" applyProtection="1">
      <alignment horizontal="center" vertical="top" wrapText="1"/>
      <protection hidden="1"/>
    </xf>
    <xf numFmtId="0" fontId="10" fillId="3" borderId="26" xfId="4" applyFont="1" applyFill="1" applyBorder="1" applyAlignment="1" applyProtection="1">
      <alignment horizontal="center" vertical="center"/>
      <protection hidden="1"/>
    </xf>
    <xf numFmtId="0" fontId="8" fillId="3" borderId="47" xfId="4" applyFont="1" applyFill="1" applyBorder="1" applyAlignment="1" applyProtection="1">
      <alignment horizontal="center" vertical="center"/>
      <protection hidden="1"/>
    </xf>
    <xf numFmtId="0" fontId="8" fillId="3" borderId="27" xfId="4" applyFont="1" applyFill="1" applyBorder="1" applyAlignment="1" applyProtection="1">
      <alignment horizontal="center" vertical="center"/>
      <protection hidden="1"/>
    </xf>
    <xf numFmtId="0" fontId="7" fillId="3" borderId="17" xfId="4" applyFont="1" applyFill="1" applyBorder="1" applyAlignment="1" applyProtection="1">
      <alignment horizontal="center" vertical="top" wrapText="1"/>
      <protection hidden="1"/>
    </xf>
    <xf numFmtId="0" fontId="7" fillId="3" borderId="22" xfId="4" applyFont="1" applyFill="1" applyBorder="1" applyAlignment="1" applyProtection="1">
      <alignment horizontal="center" vertical="top" wrapText="1"/>
      <protection hidden="1"/>
    </xf>
    <xf numFmtId="0" fontId="10" fillId="3" borderId="47" xfId="4" applyFont="1" applyFill="1" applyBorder="1" applyAlignment="1" applyProtection="1">
      <alignment horizontal="center" vertical="center"/>
      <protection hidden="1"/>
    </xf>
    <xf numFmtId="0" fontId="4" fillId="3" borderId="47" xfId="4" applyFont="1" applyFill="1" applyBorder="1" applyAlignment="1" applyProtection="1">
      <alignment horizontal="center" vertical="center"/>
      <protection hidden="1"/>
    </xf>
    <xf numFmtId="0" fontId="4" fillId="3" borderId="55" xfId="4" applyFont="1" applyFill="1" applyBorder="1" applyAlignment="1" applyProtection="1">
      <alignment horizontal="center" vertical="center"/>
      <protection hidden="1"/>
    </xf>
    <xf numFmtId="0" fontId="8" fillId="3" borderId="53" xfId="4" applyFont="1" applyFill="1" applyBorder="1" applyAlignment="1" applyProtection="1">
      <alignment horizontal="center" vertical="top" wrapText="1"/>
      <protection hidden="1"/>
    </xf>
    <xf numFmtId="0" fontId="8" fillId="3" borderId="63" xfId="4" applyFont="1" applyFill="1" applyBorder="1" applyAlignment="1" applyProtection="1">
      <alignment horizontal="center" vertical="top" wrapText="1"/>
      <protection hidden="1"/>
    </xf>
    <xf numFmtId="0" fontId="2" fillId="3" borderId="84" xfId="4" applyFont="1" applyFill="1" applyBorder="1" applyAlignment="1" applyProtection="1">
      <alignment horizontal="center" vertical="center" wrapText="1"/>
      <protection hidden="1"/>
    </xf>
    <xf numFmtId="0" fontId="2" fillId="3" borderId="4" xfId="4" applyFont="1" applyFill="1" applyBorder="1" applyAlignment="1" applyProtection="1">
      <alignment horizontal="center" vertical="center" wrapText="1"/>
      <protection hidden="1"/>
    </xf>
    <xf numFmtId="0" fontId="2" fillId="3" borderId="30" xfId="4" applyFont="1" applyFill="1" applyBorder="1" applyAlignment="1" applyProtection="1">
      <alignment horizontal="center" vertical="center" wrapText="1"/>
      <protection hidden="1"/>
    </xf>
    <xf numFmtId="181" fontId="4" fillId="3" borderId="46" xfId="4" applyNumberFormat="1" applyFont="1" applyFill="1" applyBorder="1" applyAlignment="1" applyProtection="1">
      <alignment horizontal="center" vertical="center" shrinkToFit="1"/>
      <protection hidden="1"/>
    </xf>
    <xf numFmtId="181" fontId="4" fillId="3" borderId="47" xfId="4" applyNumberFormat="1" applyFont="1" applyFill="1" applyBorder="1" applyAlignment="1" applyProtection="1">
      <alignment horizontal="center" vertical="center" shrinkToFit="1"/>
      <protection hidden="1"/>
    </xf>
    <xf numFmtId="181" fontId="4" fillId="3" borderId="55" xfId="4" applyNumberFormat="1" applyFont="1" applyFill="1" applyBorder="1" applyAlignment="1" applyProtection="1">
      <alignment horizontal="center" vertical="center" shrinkToFit="1"/>
      <protection hidden="1"/>
    </xf>
    <xf numFmtId="0" fontId="4" fillId="3" borderId="6" xfId="4" applyFont="1" applyFill="1" applyBorder="1" applyAlignment="1" applyProtection="1">
      <alignment horizontal="center" vertical="center"/>
      <protection hidden="1"/>
    </xf>
    <xf numFmtId="0" fontId="4" fillId="3" borderId="64" xfId="4" applyFont="1" applyFill="1" applyBorder="1" applyAlignment="1" applyProtection="1">
      <alignment horizontal="center" vertical="center"/>
      <protection hidden="1"/>
    </xf>
    <xf numFmtId="0" fontId="12" fillId="3" borderId="4" xfId="4" applyFont="1" applyFill="1" applyBorder="1" applyAlignment="1" applyProtection="1">
      <alignment horizontal="center" shrinkToFit="1"/>
      <protection hidden="1"/>
    </xf>
    <xf numFmtId="0" fontId="4" fillId="3" borderId="17" xfId="4" applyFont="1" applyFill="1" applyBorder="1" applyAlignment="1" applyProtection="1">
      <alignment horizontal="center" vertical="center" wrapText="1"/>
      <protection hidden="1"/>
    </xf>
    <xf numFmtId="0" fontId="4" fillId="3" borderId="22" xfId="4" applyFont="1" applyFill="1" applyBorder="1" applyAlignment="1" applyProtection="1">
      <alignment horizontal="center" vertical="center" wrapText="1"/>
      <protection hidden="1"/>
    </xf>
    <xf numFmtId="0" fontId="2" fillId="3" borderId="52" xfId="4" applyFont="1" applyFill="1" applyBorder="1" applyAlignment="1" applyProtection="1">
      <alignment horizontal="center" vertical="center"/>
      <protection hidden="1"/>
    </xf>
    <xf numFmtId="0" fontId="4" fillId="3" borderId="17" xfId="4" applyFont="1" applyFill="1" applyBorder="1" applyAlignment="1" applyProtection="1">
      <alignment horizontal="center" vertical="center" wrapText="1" shrinkToFit="1"/>
      <protection hidden="1"/>
    </xf>
    <xf numFmtId="0" fontId="4" fillId="3" borderId="22" xfId="4" applyFont="1" applyFill="1" applyBorder="1" applyAlignment="1" applyProtection="1">
      <alignment horizontal="center" vertical="center" wrapText="1" shrinkToFit="1"/>
      <protection hidden="1"/>
    </xf>
    <xf numFmtId="0" fontId="10" fillId="3" borderId="52" xfId="4" applyFont="1" applyFill="1" applyBorder="1" applyAlignment="1" applyProtection="1">
      <alignment horizontal="center" vertical="center"/>
      <protection hidden="1"/>
    </xf>
    <xf numFmtId="0" fontId="8" fillId="3" borderId="5" xfId="4" applyFont="1" applyFill="1" applyBorder="1" applyAlignment="1" applyProtection="1">
      <alignment horizontal="center" vertical="top" wrapText="1"/>
      <protection hidden="1"/>
    </xf>
    <xf numFmtId="0" fontId="12" fillId="3" borderId="23" xfId="4" applyFont="1" applyFill="1" applyBorder="1" applyAlignment="1" applyProtection="1">
      <alignment horizontal="center"/>
      <protection hidden="1"/>
    </xf>
    <xf numFmtId="0" fontId="8" fillId="3" borderId="53" xfId="4" applyFont="1" applyFill="1" applyBorder="1" applyAlignment="1" applyProtection="1">
      <alignment horizontal="center" vertical="center" wrapText="1"/>
      <protection hidden="1"/>
    </xf>
    <xf numFmtId="0" fontId="8" fillId="3" borderId="44" xfId="4" applyFont="1" applyFill="1" applyBorder="1" applyAlignment="1" applyProtection="1">
      <alignment horizontal="center" vertical="center" wrapText="1"/>
      <protection hidden="1"/>
    </xf>
    <xf numFmtId="191" fontId="18" fillId="3" borderId="26" xfId="4" applyNumberFormat="1" applyFont="1" applyFill="1" applyBorder="1" applyAlignment="1" applyProtection="1">
      <alignment horizontal="center" vertical="center"/>
      <protection hidden="1"/>
    </xf>
    <xf numFmtId="191" fontId="18" fillId="3" borderId="27" xfId="4" applyNumberFormat="1" applyFont="1" applyFill="1" applyBorder="1" applyAlignment="1" applyProtection="1">
      <alignment horizontal="center" vertical="center"/>
      <protection hidden="1"/>
    </xf>
    <xf numFmtId="188" fontId="21" fillId="3" borderId="47" xfId="4" applyNumberFormat="1" applyFont="1" applyFill="1" applyBorder="1" applyAlignment="1" applyProtection="1">
      <alignment horizontal="left" vertical="center" shrinkToFit="1"/>
      <protection hidden="1"/>
    </xf>
    <xf numFmtId="188" fontId="21" fillId="3" borderId="27" xfId="4" applyNumberFormat="1" applyFont="1" applyFill="1" applyBorder="1" applyAlignment="1" applyProtection="1">
      <alignment horizontal="left" vertical="center" shrinkToFit="1"/>
      <protection hidden="1"/>
    </xf>
    <xf numFmtId="196" fontId="21" fillId="3" borderId="46" xfId="4" applyNumberFormat="1" applyFont="1" applyFill="1" applyBorder="1" applyAlignment="1" applyProtection="1">
      <alignment horizontal="right" vertical="center" shrinkToFit="1"/>
      <protection hidden="1"/>
    </xf>
    <xf numFmtId="188" fontId="21" fillId="3" borderId="55" xfId="4" applyNumberFormat="1" applyFont="1" applyFill="1" applyBorder="1" applyAlignment="1" applyProtection="1">
      <alignment horizontal="left" vertical="center" shrinkToFit="1"/>
      <protection hidden="1"/>
    </xf>
    <xf numFmtId="0" fontId="16" fillId="6" borderId="60" xfId="4" applyNumberFormat="1" applyFont="1" applyFill="1" applyBorder="1" applyAlignment="1" applyProtection="1">
      <alignment horizontal="center" vertical="center" shrinkToFit="1"/>
      <protection locked="0"/>
    </xf>
    <xf numFmtId="0" fontId="16" fillId="6" borderId="1" xfId="4" applyNumberFormat="1" applyFont="1" applyFill="1" applyBorder="1" applyAlignment="1" applyProtection="1">
      <alignment horizontal="center" vertical="center" shrinkToFit="1"/>
      <protection locked="0"/>
    </xf>
    <xf numFmtId="0" fontId="18" fillId="3" borderId="58" xfId="4" applyNumberFormat="1" applyFont="1" applyFill="1" applyBorder="1" applyAlignment="1" applyProtection="1">
      <alignment horizontal="center" vertical="center"/>
      <protection hidden="1"/>
    </xf>
    <xf numFmtId="0" fontId="18" fillId="3" borderId="19" xfId="4" applyNumberFormat="1" applyFont="1" applyFill="1" applyBorder="1" applyAlignment="1" applyProtection="1">
      <alignment horizontal="center" vertical="center"/>
      <protection hidden="1"/>
    </xf>
    <xf numFmtId="193" fontId="4" fillId="6" borderId="47" xfId="4" applyNumberFormat="1" applyFont="1" applyFill="1" applyBorder="1" applyAlignment="1" applyProtection="1">
      <alignment horizontal="center" vertical="center" shrinkToFit="1"/>
      <protection locked="0"/>
    </xf>
    <xf numFmtId="193" fontId="4" fillId="6" borderId="55" xfId="4" applyNumberFormat="1" applyFont="1" applyFill="1" applyBorder="1" applyAlignment="1" applyProtection="1">
      <alignment horizontal="center" vertical="center" shrinkToFit="1"/>
      <protection locked="0"/>
    </xf>
    <xf numFmtId="183" fontId="4" fillId="6" borderId="40" xfId="4" applyNumberFormat="1" applyFont="1" applyFill="1" applyBorder="1" applyAlignment="1" applyProtection="1">
      <alignment horizontal="center" vertical="center" shrinkToFit="1"/>
      <protection locked="0"/>
    </xf>
    <xf numFmtId="183" fontId="4" fillId="6" borderId="24" xfId="4" applyNumberFormat="1" applyFont="1" applyFill="1" applyBorder="1" applyAlignment="1" applyProtection="1">
      <alignment horizontal="center" vertical="center" shrinkToFit="1"/>
      <protection locked="0"/>
    </xf>
    <xf numFmtId="187" fontId="16" fillId="6" borderId="52" xfId="4" applyNumberFormat="1" applyFont="1" applyFill="1" applyBorder="1" applyAlignment="1" applyProtection="1">
      <alignment horizontal="center" vertical="center" shrinkToFit="1"/>
      <protection hidden="1"/>
    </xf>
    <xf numFmtId="187" fontId="16" fillId="6" borderId="12" xfId="4" applyNumberFormat="1" applyFont="1" applyFill="1" applyBorder="1" applyAlignment="1" applyProtection="1">
      <alignment horizontal="center" vertical="center" shrinkToFit="1"/>
      <protection hidden="1"/>
    </xf>
    <xf numFmtId="184" fontId="17" fillId="3" borderId="17" xfId="4" applyNumberFormat="1" applyFont="1" applyFill="1" applyBorder="1" applyAlignment="1" applyProtection="1">
      <alignment horizontal="center" vertical="center" shrinkToFit="1"/>
      <protection hidden="1"/>
    </xf>
    <xf numFmtId="184" fontId="17" fillId="3" borderId="28" xfId="4" applyNumberFormat="1" applyFont="1" applyFill="1" applyBorder="1" applyAlignment="1" applyProtection="1">
      <alignment horizontal="center" vertical="center" shrinkToFit="1"/>
      <protection hidden="1"/>
    </xf>
    <xf numFmtId="0" fontId="4" fillId="6" borderId="65" xfId="4" applyNumberFormat="1" applyFont="1" applyFill="1" applyBorder="1" applyAlignment="1" applyProtection="1">
      <alignment horizontal="center" vertical="center" wrapText="1"/>
      <protection hidden="1"/>
    </xf>
    <xf numFmtId="0" fontId="4" fillId="6" borderId="66" xfId="4" applyNumberFormat="1" applyFont="1" applyFill="1" applyBorder="1" applyAlignment="1" applyProtection="1">
      <alignment horizontal="center" vertical="center" wrapText="1"/>
      <protection hidden="1"/>
    </xf>
    <xf numFmtId="0" fontId="4" fillId="6" borderId="67" xfId="4" applyNumberFormat="1" applyFont="1" applyFill="1" applyBorder="1" applyAlignment="1" applyProtection="1">
      <alignment horizontal="center" vertical="center" wrapText="1"/>
      <protection hidden="1"/>
    </xf>
    <xf numFmtId="0" fontId="4" fillId="6" borderId="35" xfId="4" applyNumberFormat="1" applyFont="1" applyFill="1" applyBorder="1" applyAlignment="1" applyProtection="1">
      <alignment horizontal="left" vertical="center" wrapText="1"/>
      <protection hidden="1"/>
    </xf>
    <xf numFmtId="0" fontId="4" fillId="6" borderId="4" xfId="4" applyNumberFormat="1" applyFont="1" applyFill="1" applyBorder="1" applyAlignment="1" applyProtection="1">
      <alignment horizontal="left" vertical="center" wrapText="1"/>
      <protection hidden="1"/>
    </xf>
    <xf numFmtId="0" fontId="4" fillId="6" borderId="29" xfId="4" applyNumberFormat="1" applyFont="1" applyFill="1" applyBorder="1" applyAlignment="1" applyProtection="1">
      <alignment horizontal="left" vertical="center" wrapText="1"/>
      <protection hidden="1"/>
    </xf>
    <xf numFmtId="0" fontId="16" fillId="6" borderId="62" xfId="4" applyNumberFormat="1" applyFont="1" applyFill="1" applyBorder="1" applyAlignment="1" applyProtection="1">
      <alignment horizontal="center" vertical="center" shrinkToFit="1"/>
      <protection hidden="1"/>
    </xf>
    <xf numFmtId="0" fontId="16" fillId="6" borderId="18" xfId="4" applyNumberFormat="1" applyFont="1" applyFill="1" applyBorder="1" applyAlignment="1" applyProtection="1">
      <alignment horizontal="center" vertical="center" shrinkToFit="1"/>
      <protection hidden="1"/>
    </xf>
    <xf numFmtId="0" fontId="18" fillId="3" borderId="60" xfId="4" applyNumberFormat="1" applyFont="1" applyFill="1" applyBorder="1" applyAlignment="1" applyProtection="1">
      <alignment horizontal="center" vertical="center"/>
      <protection hidden="1"/>
    </xf>
    <xf numFmtId="0" fontId="18" fillId="3" borderId="1" xfId="4" applyNumberFormat="1" applyFont="1" applyFill="1" applyBorder="1" applyAlignment="1" applyProtection="1">
      <alignment horizontal="center" vertical="center"/>
      <protection hidden="1"/>
    </xf>
    <xf numFmtId="49" fontId="4" fillId="6" borderId="39" xfId="4" applyNumberFormat="1" applyFont="1" applyFill="1" applyBorder="1" applyAlignment="1" applyProtection="1">
      <alignment horizontal="center" vertical="center" wrapText="1"/>
      <protection locked="0"/>
    </xf>
    <xf numFmtId="49" fontId="4" fillId="6" borderId="60" xfId="4" applyNumberFormat="1" applyFont="1" applyFill="1" applyBorder="1" applyAlignment="1" applyProtection="1">
      <alignment horizontal="center" vertical="center" wrapText="1"/>
      <protection locked="0"/>
    </xf>
    <xf numFmtId="49" fontId="4" fillId="6" borderId="61" xfId="4" applyNumberFormat="1" applyFont="1" applyFill="1" applyBorder="1" applyAlignment="1" applyProtection="1">
      <alignment horizontal="center" vertical="center" wrapText="1"/>
      <protection locked="0"/>
    </xf>
    <xf numFmtId="49" fontId="4" fillId="6" borderId="59" xfId="4" applyNumberFormat="1" applyFont="1" applyFill="1" applyBorder="1" applyAlignment="1" applyProtection="1">
      <alignment horizontal="center" vertical="center" wrapText="1"/>
      <protection locked="0"/>
    </xf>
    <xf numFmtId="49" fontId="4" fillId="6" borderId="1" xfId="4" applyNumberFormat="1" applyFont="1" applyFill="1" applyBorder="1" applyAlignment="1" applyProtection="1">
      <alignment horizontal="center" vertical="center" wrapText="1"/>
      <protection locked="0"/>
    </xf>
    <xf numFmtId="49" fontId="4" fillId="6" borderId="20" xfId="4" applyNumberFormat="1" applyFont="1" applyFill="1" applyBorder="1" applyAlignment="1" applyProtection="1">
      <alignment horizontal="center" vertical="center" wrapText="1"/>
      <protection locked="0"/>
    </xf>
    <xf numFmtId="49" fontId="11" fillId="6" borderId="62" xfId="4" applyNumberFormat="1" applyFont="1" applyFill="1" applyBorder="1" applyAlignment="1" applyProtection="1">
      <alignment horizontal="center" vertical="center" wrapText="1"/>
      <protection locked="0"/>
    </xf>
    <xf numFmtId="49" fontId="11" fillId="6" borderId="18" xfId="4" applyNumberFormat="1" applyFont="1" applyFill="1" applyBorder="1" applyAlignment="1" applyProtection="1">
      <alignment horizontal="center" vertical="center" wrapText="1"/>
      <protection locked="0"/>
    </xf>
    <xf numFmtId="49" fontId="4" fillId="6" borderId="62" xfId="4" applyNumberFormat="1" applyFont="1" applyFill="1" applyBorder="1" applyAlignment="1" applyProtection="1">
      <alignment horizontal="center" vertical="center" wrapText="1"/>
      <protection locked="0"/>
    </xf>
    <xf numFmtId="49" fontId="4" fillId="6" borderId="18" xfId="4" applyNumberFormat="1" applyFont="1" applyFill="1" applyBorder="1" applyAlignment="1" applyProtection="1">
      <alignment horizontal="center" vertical="center" wrapText="1"/>
      <protection locked="0"/>
    </xf>
    <xf numFmtId="0" fontId="11" fillId="6" borderId="40" xfId="4" applyNumberFormat="1" applyFont="1" applyFill="1" applyBorder="1" applyAlignment="1" applyProtection="1">
      <alignment horizontal="center" vertical="center" wrapText="1"/>
      <protection locked="0"/>
    </xf>
    <xf numFmtId="0" fontId="11" fillId="6" borderId="24" xfId="4" applyNumberFormat="1" applyFont="1" applyFill="1" applyBorder="1" applyAlignment="1" applyProtection="1">
      <alignment horizontal="center" vertical="center" wrapText="1"/>
      <protection locked="0"/>
    </xf>
    <xf numFmtId="49" fontId="11" fillId="6" borderId="63" xfId="4" applyNumberFormat="1" applyFont="1" applyFill="1" applyBorder="1" applyAlignment="1" applyProtection="1">
      <alignment horizontal="center" vertical="center" wrapText="1"/>
      <protection locked="0"/>
    </xf>
    <xf numFmtId="49" fontId="11" fillId="6" borderId="44" xfId="4" applyNumberFormat="1" applyFont="1" applyFill="1" applyBorder="1" applyAlignment="1" applyProtection="1">
      <alignment horizontal="center" vertical="center" wrapText="1"/>
      <protection locked="0"/>
    </xf>
    <xf numFmtId="183" fontId="16" fillId="6" borderId="40" xfId="4" applyNumberFormat="1" applyFont="1" applyFill="1" applyBorder="1" applyAlignment="1" applyProtection="1">
      <alignment horizontal="center" vertical="center" shrinkToFit="1"/>
      <protection locked="0"/>
    </xf>
    <xf numFmtId="183" fontId="16" fillId="6" borderId="22" xfId="4" applyNumberFormat="1" applyFont="1" applyFill="1" applyBorder="1" applyAlignment="1" applyProtection="1">
      <alignment horizontal="center" vertical="center" shrinkToFit="1"/>
      <protection locked="0"/>
    </xf>
    <xf numFmtId="183" fontId="16" fillId="6" borderId="28" xfId="4" applyNumberFormat="1" applyFont="1" applyFill="1" applyBorder="1" applyAlignment="1" applyProtection="1">
      <alignment horizontal="center" vertical="center" shrinkToFit="1"/>
      <protection locked="0"/>
    </xf>
    <xf numFmtId="186" fontId="4" fillId="6" borderId="13" xfId="4" applyNumberFormat="1" applyFont="1" applyFill="1" applyBorder="1" applyAlignment="1" applyProtection="1">
      <alignment horizontal="center" vertical="center"/>
      <protection hidden="1"/>
    </xf>
    <xf numFmtId="186" fontId="4" fillId="6" borderId="64" xfId="4" applyNumberFormat="1" applyFont="1" applyFill="1" applyBorder="1" applyAlignment="1" applyProtection="1">
      <alignment horizontal="center" vertical="center"/>
      <protection hidden="1"/>
    </xf>
    <xf numFmtId="0" fontId="16" fillId="6" borderId="60" xfId="4" applyNumberFormat="1" applyFont="1" applyFill="1" applyBorder="1" applyAlignment="1" applyProtection="1">
      <alignment horizontal="center" vertical="center" shrinkToFit="1"/>
      <protection hidden="1"/>
    </xf>
    <xf numFmtId="0" fontId="16" fillId="6" borderId="1" xfId="4" applyNumberFormat="1" applyFont="1" applyFill="1" applyBorder="1" applyAlignment="1" applyProtection="1">
      <alignment horizontal="center" vertical="center" shrinkToFit="1"/>
      <protection hidden="1"/>
    </xf>
    <xf numFmtId="0" fontId="100" fillId="4" borderId="1" xfId="4" applyFont="1" applyFill="1" applyBorder="1" applyAlignment="1" applyProtection="1">
      <alignment horizontal="center" vertical="center"/>
      <protection hidden="1"/>
    </xf>
    <xf numFmtId="0" fontId="99" fillId="4" borderId="1" xfId="4" applyFont="1" applyFill="1" applyBorder="1" applyAlignment="1" applyProtection="1">
      <alignment horizontal="center"/>
      <protection hidden="1"/>
    </xf>
    <xf numFmtId="0" fontId="100" fillId="4" borderId="1" xfId="4" applyFont="1" applyFill="1" applyBorder="1" applyAlignment="1" applyProtection="1">
      <alignment horizontal="center"/>
      <protection hidden="1"/>
    </xf>
    <xf numFmtId="0" fontId="97" fillId="9" borderId="0" xfId="4" applyFont="1" applyFill="1" applyBorder="1" applyAlignment="1" applyProtection="1">
      <alignment horizontal="center" vertical="center"/>
      <protection hidden="1"/>
    </xf>
    <xf numFmtId="0" fontId="2" fillId="5" borderId="0" xfId="4" applyFont="1" applyFill="1" applyBorder="1" applyAlignment="1" applyProtection="1">
      <alignment vertical="center" shrinkToFit="1"/>
      <protection hidden="1"/>
    </xf>
    <xf numFmtId="0" fontId="2" fillId="2" borderId="0" xfId="4" applyFill="1" applyBorder="1"/>
    <xf numFmtId="0" fontId="2" fillId="5" borderId="25" xfId="4" applyFont="1" applyFill="1" applyBorder="1" applyAlignment="1" applyProtection="1">
      <alignment horizontal="center" vertical="center" shrinkToFit="1"/>
      <protection hidden="1"/>
    </xf>
    <xf numFmtId="0" fontId="2" fillId="5" borderId="86" xfId="4" applyFont="1" applyFill="1" applyBorder="1" applyAlignment="1" applyProtection="1">
      <alignment horizontal="center" vertical="center" shrinkToFit="1"/>
      <protection hidden="1"/>
    </xf>
    <xf numFmtId="0" fontId="2" fillId="5" borderId="85" xfId="4" applyFont="1" applyFill="1" applyBorder="1" applyAlignment="1" applyProtection="1">
      <alignment horizontal="center" vertical="center" shrinkToFit="1"/>
      <protection hidden="1"/>
    </xf>
    <xf numFmtId="0" fontId="2" fillId="5" borderId="87" xfId="4" applyFont="1" applyFill="1" applyBorder="1" applyAlignment="1" applyProtection="1">
      <alignment vertical="center" shrinkToFit="1"/>
      <protection hidden="1"/>
    </xf>
    <xf numFmtId="0" fontId="2" fillId="5" borderId="88" xfId="4" applyFont="1" applyFill="1" applyBorder="1" applyAlignment="1" applyProtection="1">
      <alignment vertical="center" shrinkToFit="1"/>
      <protection hidden="1"/>
    </xf>
    <xf numFmtId="0" fontId="2" fillId="5" borderId="11" xfId="4" applyFont="1" applyFill="1" applyBorder="1" applyAlignment="1" applyProtection="1">
      <alignment vertical="center" shrinkToFit="1"/>
      <protection hidden="1"/>
    </xf>
    <xf numFmtId="0" fontId="2" fillId="5" borderId="10" xfId="4" applyFont="1" applyFill="1" applyBorder="1" applyAlignment="1" applyProtection="1">
      <alignment vertical="center" shrinkToFit="1"/>
      <protection hidden="1"/>
    </xf>
    <xf numFmtId="179" fontId="2" fillId="2" borderId="0" xfId="4" applyNumberFormat="1" applyFill="1" applyBorder="1"/>
    <xf numFmtId="0" fontId="93" fillId="2" borderId="0" xfId="0" applyFont="1" applyFill="1" applyAlignment="1">
      <alignment horizontal="center"/>
    </xf>
    <xf numFmtId="0" fontId="4" fillId="6" borderId="65" xfId="0" applyNumberFormat="1" applyFont="1" applyFill="1" applyBorder="1" applyAlignment="1" applyProtection="1">
      <alignment horizontal="center" vertical="center" wrapText="1"/>
      <protection hidden="1"/>
    </xf>
    <xf numFmtId="0" fontId="4" fillId="6" borderId="35" xfId="0" applyNumberFormat="1" applyFont="1" applyFill="1" applyBorder="1" applyAlignment="1" applyProtection="1">
      <alignment horizontal="center" vertical="center" wrapText="1"/>
      <protection hidden="1"/>
    </xf>
    <xf numFmtId="0" fontId="16" fillId="6" borderId="62" xfId="0" applyNumberFormat="1" applyFont="1" applyFill="1" applyBorder="1" applyAlignment="1" applyProtection="1">
      <alignment horizontal="center" vertical="center" shrinkToFit="1"/>
      <protection hidden="1"/>
    </xf>
    <xf numFmtId="0" fontId="16" fillId="6" borderId="60" xfId="0" applyNumberFormat="1" applyFont="1" applyFill="1" applyBorder="1" applyAlignment="1" applyProtection="1">
      <alignment horizontal="center" vertical="center" shrinkToFit="1"/>
      <protection hidden="1"/>
    </xf>
    <xf numFmtId="49" fontId="11" fillId="6" borderId="63" xfId="0" applyNumberFormat="1" applyFont="1" applyFill="1" applyBorder="1" applyAlignment="1" applyProtection="1">
      <alignment horizontal="center" vertical="center" wrapText="1"/>
      <protection hidden="1"/>
    </xf>
    <xf numFmtId="178" fontId="16" fillId="6" borderId="35" xfId="0" applyNumberFormat="1" applyFont="1" applyFill="1" applyBorder="1" applyAlignment="1" applyProtection="1">
      <alignment horizontal="center" vertical="center"/>
      <protection hidden="1"/>
    </xf>
    <xf numFmtId="183" fontId="16" fillId="6" borderId="40" xfId="0" applyNumberFormat="1" applyFont="1" applyFill="1" applyBorder="1" applyAlignment="1" applyProtection="1">
      <alignment horizontal="center" vertical="center" shrinkToFit="1"/>
      <protection hidden="1"/>
    </xf>
    <xf numFmtId="0" fontId="4" fillId="6" borderId="66" xfId="0" applyNumberFormat="1" applyFont="1" applyFill="1" applyBorder="1" applyAlignment="1" applyProtection="1">
      <alignment horizontal="center" vertical="center" wrapText="1"/>
      <protection hidden="1"/>
    </xf>
    <xf numFmtId="0" fontId="4" fillId="6" borderId="4" xfId="0" applyNumberFormat="1" applyFont="1" applyFill="1" applyBorder="1" applyAlignment="1" applyProtection="1">
      <alignment horizontal="center" vertical="center" wrapText="1"/>
      <protection hidden="1"/>
    </xf>
    <xf numFmtId="0" fontId="16" fillId="6" borderId="18" xfId="0" applyNumberFormat="1" applyFont="1" applyFill="1" applyBorder="1" applyAlignment="1" applyProtection="1">
      <alignment horizontal="center" vertical="center" shrinkToFit="1"/>
      <protection hidden="1"/>
    </xf>
    <xf numFmtId="0" fontId="16" fillId="6" borderId="1" xfId="0" applyNumberFormat="1" applyFont="1" applyFill="1" applyBorder="1" applyAlignment="1" applyProtection="1">
      <alignment horizontal="center" vertical="center" shrinkToFit="1"/>
      <protection hidden="1"/>
    </xf>
    <xf numFmtId="49" fontId="11" fillId="6" borderId="44" xfId="0" applyNumberFormat="1" applyFont="1" applyFill="1" applyBorder="1" applyAlignment="1" applyProtection="1">
      <alignment horizontal="center" vertical="center" wrapText="1"/>
      <protection hidden="1"/>
    </xf>
    <xf numFmtId="183" fontId="16" fillId="6" borderId="22" xfId="0" applyNumberFormat="1" applyFont="1" applyFill="1" applyBorder="1" applyAlignment="1" applyProtection="1">
      <alignment horizontal="center" vertical="center" shrinkToFit="1"/>
      <protection hidden="1"/>
    </xf>
    <xf numFmtId="186" fontId="4" fillId="6" borderId="13" xfId="0" applyNumberFormat="1" applyFont="1" applyFill="1" applyBorder="1" applyAlignment="1" applyProtection="1">
      <alignment horizontal="center" vertical="center"/>
      <protection hidden="1"/>
    </xf>
    <xf numFmtId="186" fontId="4" fillId="6" borderId="64" xfId="0" applyNumberFormat="1" applyFont="1" applyFill="1" applyBorder="1" applyAlignment="1" applyProtection="1">
      <alignment horizontal="center" vertical="center"/>
      <protection hidden="1"/>
    </xf>
    <xf numFmtId="187" fontId="16" fillId="6" borderId="52" xfId="0" applyNumberFormat="1" applyFont="1" applyFill="1" applyBorder="1" applyAlignment="1" applyProtection="1">
      <alignment horizontal="center" vertical="center" shrinkToFit="1"/>
      <protection hidden="1"/>
    </xf>
    <xf numFmtId="187" fontId="16" fillId="6" borderId="12" xfId="0" applyNumberFormat="1" applyFont="1" applyFill="1" applyBorder="1" applyAlignment="1" applyProtection="1">
      <alignment horizontal="center" vertical="center" shrinkToFit="1"/>
      <protection hidden="1"/>
    </xf>
    <xf numFmtId="0" fontId="4" fillId="6" borderId="67" xfId="0" applyNumberFormat="1" applyFont="1" applyFill="1" applyBorder="1" applyAlignment="1" applyProtection="1">
      <alignment horizontal="center" vertical="center" wrapText="1"/>
      <protection hidden="1"/>
    </xf>
    <xf numFmtId="0" fontId="4" fillId="6" borderId="29" xfId="0" applyNumberFormat="1" applyFont="1" applyFill="1" applyBorder="1" applyAlignment="1" applyProtection="1">
      <alignment horizontal="center" vertical="center" wrapText="1"/>
      <protection hidden="1"/>
    </xf>
    <xf numFmtId="193" fontId="4" fillId="6" borderId="47" xfId="0" applyNumberFormat="1" applyFont="1" applyFill="1" applyBorder="1" applyAlignment="1" applyProtection="1">
      <alignment horizontal="center" vertical="center" shrinkToFit="1"/>
      <protection hidden="1"/>
    </xf>
    <xf numFmtId="193" fontId="4" fillId="6" borderId="55" xfId="0" applyNumberFormat="1" applyFont="1" applyFill="1" applyBorder="1" applyAlignment="1" applyProtection="1">
      <alignment horizontal="center" vertical="center" shrinkToFit="1"/>
      <protection hidden="1"/>
    </xf>
    <xf numFmtId="183" fontId="16" fillId="6" borderId="28" xfId="0" applyNumberFormat="1" applyFont="1" applyFill="1" applyBorder="1" applyAlignment="1" applyProtection="1">
      <alignment horizontal="center" vertical="center" shrinkToFit="1"/>
      <protection hidden="1"/>
    </xf>
    <xf numFmtId="0" fontId="4" fillId="6" borderId="35" xfId="0" applyNumberFormat="1" applyFont="1" applyFill="1" applyBorder="1" applyAlignment="1" applyProtection="1">
      <alignment horizontal="left" vertical="center" wrapText="1"/>
      <protection hidden="1"/>
    </xf>
    <xf numFmtId="0" fontId="4" fillId="6" borderId="4" xfId="0" applyNumberFormat="1" applyFont="1" applyFill="1" applyBorder="1" applyAlignment="1" applyProtection="1">
      <alignment horizontal="left" vertical="center" wrapText="1"/>
      <protection hidden="1"/>
    </xf>
    <xf numFmtId="0" fontId="4" fillId="6" borderId="29" xfId="0" applyNumberFormat="1" applyFont="1" applyFill="1" applyBorder="1" applyAlignment="1" applyProtection="1">
      <alignment horizontal="left" vertical="center" wrapText="1"/>
      <protection hidden="1"/>
    </xf>
  </cellXfs>
  <cellStyles count="6">
    <cellStyle name="ハイパーリンク" xfId="1" builtinId="8"/>
    <cellStyle name="標準" xfId="0" builtinId="0"/>
    <cellStyle name="標準 2" xfId="5"/>
    <cellStyle name="標準_(UL)ESE-HP計算実務例VD2" xfId="2"/>
    <cellStyle name="標準_(UL)ESE-HP計算実務例VD4" xfId="3"/>
    <cellStyle name="標準_(UL)VD4-JPN. Ver4.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76200</xdr:colOff>
      <xdr:row>197</xdr:row>
      <xdr:rowOff>28575</xdr:rowOff>
    </xdr:from>
    <xdr:to>
      <xdr:col>37</xdr:col>
      <xdr:colOff>266700</xdr:colOff>
      <xdr:row>197</xdr:row>
      <xdr:rowOff>314325</xdr:rowOff>
    </xdr:to>
    <xdr:grpSp>
      <xdr:nvGrpSpPr>
        <xdr:cNvPr id="4097" name="Group 1"/>
        <xdr:cNvGrpSpPr>
          <a:grpSpLocks/>
        </xdr:cNvGrpSpPr>
      </xdr:nvGrpSpPr>
      <xdr:grpSpPr bwMode="auto">
        <a:xfrm>
          <a:off x="1504950" y="35951432"/>
          <a:ext cx="17389929" cy="285750"/>
          <a:chOff x="158" y="1442"/>
          <a:chExt cx="1825" cy="30"/>
        </a:xfrm>
      </xdr:grpSpPr>
      <xdr:sp macro="" textlink="">
        <xdr:nvSpPr>
          <xdr:cNvPr id="4098" name="Text Box 2"/>
          <xdr:cNvSpPr txBox="1">
            <a:spLocks noChangeArrowheads="1"/>
          </xdr:cNvSpPr>
        </xdr:nvSpPr>
        <xdr:spPr bwMode="auto">
          <a:xfrm>
            <a:off x="158" y="1451"/>
            <a:ext cx="64"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物件名称</a:t>
            </a:r>
          </a:p>
        </xdr:txBody>
      </xdr:sp>
      <xdr:grpSp>
        <xdr:nvGrpSpPr>
          <xdr:cNvPr id="4099" name="Group 3"/>
          <xdr:cNvGrpSpPr>
            <a:grpSpLocks/>
          </xdr:cNvGrpSpPr>
        </xdr:nvGrpSpPr>
        <xdr:grpSpPr bwMode="auto">
          <a:xfrm>
            <a:off x="1578" y="1442"/>
            <a:ext cx="405" cy="22"/>
            <a:chOff x="1578" y="1442"/>
            <a:chExt cx="405" cy="22"/>
          </a:xfrm>
        </xdr:grpSpPr>
        <xdr:sp macro="" textlink="">
          <xdr:nvSpPr>
            <xdr:cNvPr id="4100" name="Text Box 4"/>
            <xdr:cNvSpPr txBox="1">
              <a:spLocks noChangeArrowheads="1"/>
            </xdr:cNvSpPr>
          </xdr:nvSpPr>
          <xdr:spPr bwMode="auto">
            <a:xfrm>
              <a:off x="1780" y="1442"/>
              <a:ext cx="29"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9144" tIns="18288" rIns="0" bIns="0" anchor="t" upright="1">
              <a:spAutoFit/>
            </a:bodyPr>
            <a:lstStyle/>
            <a:p>
              <a:pPr algn="l" rtl="0">
                <a:defRPr sz="1000"/>
              </a:pPr>
              <a:r>
                <a:rPr lang="ja-JP" altLang="en-US" sz="800" b="0" i="0" u="none" strike="noStrike" baseline="0">
                  <a:solidFill>
                    <a:srgbClr val="000000"/>
                  </a:solidFill>
                  <a:latin typeface="ＭＳ Ｐ明朝"/>
                  <a:ea typeface="ＭＳ Ｐ明朝"/>
                </a:rPr>
                <a:t>担当</a:t>
              </a:r>
            </a:p>
          </xdr:txBody>
        </xdr:sp>
        <xdr:sp macro="" textlink="">
          <xdr:nvSpPr>
            <xdr:cNvPr id="4101" name="Text Box 5"/>
            <xdr:cNvSpPr txBox="1">
              <a:spLocks noChangeArrowheads="1"/>
            </xdr:cNvSpPr>
          </xdr:nvSpPr>
          <xdr:spPr bwMode="auto">
            <a:xfrm>
              <a:off x="1960" y="1444"/>
              <a:ext cx="23"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9144" tIns="18288" rIns="0" bIns="0" anchor="t" upright="1">
              <a:spAutoFit/>
            </a:bodyPr>
            <a:lstStyle/>
            <a:p>
              <a:pPr algn="l" rtl="0">
                <a:defRPr sz="1000"/>
              </a:pPr>
              <a:r>
                <a:rPr lang="en-US" altLang="ja-JP" sz="800" b="0" i="0" u="none" strike="noStrike" baseline="0">
                  <a:solidFill>
                    <a:srgbClr val="000000"/>
                  </a:solidFill>
                  <a:latin typeface="ＭＳ Ｐ明朝"/>
                  <a:ea typeface="ＭＳ Ｐ明朝"/>
                </a:rPr>
                <a:t>No.</a:t>
              </a:r>
            </a:p>
          </xdr:txBody>
        </xdr:sp>
        <xdr:sp macro="" textlink="">
          <xdr:nvSpPr>
            <xdr:cNvPr id="4102" name="Text Box 6"/>
            <xdr:cNvSpPr txBox="1">
              <a:spLocks noChangeArrowheads="1"/>
            </xdr:cNvSpPr>
          </xdr:nvSpPr>
          <xdr:spPr bwMode="auto">
            <a:xfrm>
              <a:off x="1578" y="1444"/>
              <a:ext cx="30"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wrap="none" lIns="9144" tIns="18288" rIns="0" bIns="0" anchor="t" upright="1">
              <a:spAutoFit/>
            </a:bodyPr>
            <a:lstStyle/>
            <a:p>
              <a:pPr algn="l" rtl="0">
                <a:defRPr sz="1000"/>
              </a:pPr>
              <a:r>
                <a:rPr lang="ja-JP" altLang="en-US" sz="800" b="0" i="0" u="none" strike="noStrike" baseline="0">
                  <a:solidFill>
                    <a:srgbClr val="000000"/>
                  </a:solidFill>
                  <a:latin typeface="ＭＳ Ｐ明朝"/>
                  <a:ea typeface="ＭＳ Ｐ明朝"/>
                </a:rPr>
                <a:t>検印</a:t>
              </a:r>
            </a:p>
          </xdr:txBody>
        </xdr:sp>
      </xdr:grpSp>
    </xdr:grpSp>
    <xdr:clientData/>
  </xdr:twoCellAnchor>
  <xdr:twoCellAnchor>
    <xdr:from>
      <xdr:col>3</xdr:col>
      <xdr:colOff>9525</xdr:colOff>
      <xdr:row>1</xdr:row>
      <xdr:rowOff>152400</xdr:rowOff>
    </xdr:from>
    <xdr:to>
      <xdr:col>21</xdr:col>
      <xdr:colOff>438150</xdr:colOff>
      <xdr:row>6</xdr:row>
      <xdr:rowOff>66675</xdr:rowOff>
    </xdr:to>
    <xdr:grpSp>
      <xdr:nvGrpSpPr>
        <xdr:cNvPr id="4103" name="Group 7"/>
        <xdr:cNvGrpSpPr>
          <a:grpSpLocks/>
        </xdr:cNvGrpSpPr>
      </xdr:nvGrpSpPr>
      <xdr:grpSpPr bwMode="auto">
        <a:xfrm>
          <a:off x="1438275" y="329293"/>
          <a:ext cx="8756196" cy="798739"/>
          <a:chOff x="151" y="34"/>
          <a:chExt cx="922" cy="81"/>
        </a:xfrm>
      </xdr:grpSpPr>
      <xdr:grpSp>
        <xdr:nvGrpSpPr>
          <xdr:cNvPr id="4104" name="Group 8"/>
          <xdr:cNvGrpSpPr>
            <a:grpSpLocks/>
          </xdr:cNvGrpSpPr>
        </xdr:nvGrpSpPr>
        <xdr:grpSpPr bwMode="auto">
          <a:xfrm>
            <a:off x="151" y="34"/>
            <a:ext cx="333" cy="43"/>
            <a:chOff x="152" y="15"/>
            <a:chExt cx="333" cy="43"/>
          </a:xfrm>
        </xdr:grpSpPr>
        <xdr:sp macro="" textlink="">
          <xdr:nvSpPr>
            <xdr:cNvPr id="4105" name="AutoShape 9"/>
            <xdr:cNvSpPr>
              <a:spLocks noChangeArrowheads="1"/>
            </xdr:cNvSpPr>
          </xdr:nvSpPr>
          <xdr:spPr bwMode="auto">
            <a:xfrm>
              <a:off x="152" y="16"/>
              <a:ext cx="333" cy="42"/>
            </a:xfrm>
            <a:prstGeom prst="parallelogram">
              <a:avLst>
                <a:gd name="adj" fmla="val 15637"/>
              </a:avLst>
            </a:prstGeom>
            <a:solidFill>
              <a:srgbClr xmlns:mc="http://schemas.openxmlformats.org/markup-compatibility/2006" xmlns:a14="http://schemas.microsoft.com/office/drawing/2010/main" val="00FFFF" mc:Ignorable="a14" a14:legacySpreadsheetColorIndex="1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06" name="Text Box 10"/>
            <xdr:cNvSpPr txBox="1">
              <a:spLocks noChangeArrowheads="1"/>
            </xdr:cNvSpPr>
          </xdr:nvSpPr>
          <xdr:spPr bwMode="auto">
            <a:xfrm>
              <a:off x="159" y="15"/>
              <a:ext cx="317" cy="4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alpha val="5000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en-US" altLang="ja-JP" sz="900" b="1" i="0" u="none" strike="noStrike" baseline="0">
                  <a:solidFill>
                    <a:srgbClr val="CCCCFF"/>
                  </a:solidFill>
                  <a:latin typeface="ＭＳ Ｐゴシック"/>
                  <a:ea typeface="ＭＳ Ｐゴシック"/>
                </a:rPr>
                <a:t> </a:t>
              </a:r>
              <a:r>
                <a:rPr lang="en-US" altLang="ja-JP" sz="1100" b="1" i="0" u="none" strike="noStrike" baseline="0">
                  <a:solidFill>
                    <a:srgbClr val="FF99CC"/>
                  </a:solidFill>
                  <a:latin typeface="Times New Roman"/>
                  <a:cs typeface="Times New Roman"/>
                </a:rPr>
                <a:t>Exchange circuit analisys calculation -VD</a:t>
              </a:r>
              <a:r>
                <a:rPr lang="ja-JP" altLang="en-US" sz="1100" b="1" i="0" u="none" strike="noStrike" baseline="0">
                  <a:solidFill>
                    <a:srgbClr val="FF99CC"/>
                  </a:solidFill>
                  <a:latin typeface="ＭＳ Ｐゴシック"/>
                  <a:ea typeface="ＭＳ Ｐゴシック"/>
                </a:rPr>
                <a:t>４</a:t>
              </a:r>
              <a:endParaRPr lang="ja-JP" altLang="en-US" sz="900" b="1" i="0" u="none" strike="noStrike" baseline="0">
                <a:solidFill>
                  <a:srgbClr val="CC99FF"/>
                </a:solidFill>
                <a:latin typeface="ＭＳ Ｐゴシック"/>
                <a:ea typeface="ＭＳ Ｐゴシック"/>
              </a:endParaRPr>
            </a:p>
            <a:p>
              <a:pPr algn="ctr" rtl="0">
                <a:lnSpc>
                  <a:spcPts val="1000"/>
                </a:lnSpc>
                <a:defRPr sz="1000"/>
              </a:pPr>
              <a:r>
                <a:rPr lang="ja-JP" altLang="en-US" sz="900" b="1" i="0" u="none" strike="noStrike" baseline="0">
                  <a:solidFill>
                    <a:srgbClr val="CC99FF"/>
                  </a:solidFill>
                  <a:latin typeface="ＭＳ Ｐゴシック"/>
                  <a:ea typeface="ＭＳ Ｐゴシック"/>
                </a:rPr>
                <a:t>２００２</a:t>
              </a:r>
              <a:r>
                <a:rPr lang="ja-JP" altLang="en-US" sz="800" b="1" i="0" u="none" strike="noStrike" baseline="0">
                  <a:solidFill>
                    <a:srgbClr val="CC99FF"/>
                  </a:solidFill>
                  <a:latin typeface="ＭＳ Ｐゴシック"/>
                  <a:ea typeface="ＭＳ Ｐゴシック"/>
                </a:rPr>
                <a:t>　Ａｕｇ．</a:t>
              </a:r>
              <a:r>
                <a:rPr lang="ja-JP" altLang="en-US" sz="800" b="1" i="0" u="none" strike="noStrike" baseline="0">
                  <a:solidFill>
                    <a:srgbClr val="CC99FF"/>
                  </a:solidFill>
                  <a:latin typeface="Times New Roman"/>
                  <a:cs typeface="Times New Roman"/>
                </a:rPr>
                <a:t>  </a:t>
              </a:r>
              <a:r>
                <a:rPr lang="ja-JP" altLang="en-US" sz="800" b="1" i="0" u="none" strike="noStrike" baseline="0">
                  <a:solidFill>
                    <a:srgbClr val="CC99FF"/>
                  </a:solidFill>
                  <a:latin typeface="ＭＳ Ｐゴシック"/>
                  <a:ea typeface="ＭＳ Ｐゴシック"/>
                </a:rPr>
                <a:t>Ｖｅｒ　２．</a:t>
              </a:r>
              <a:r>
                <a:rPr lang="en-US" altLang="ja-JP" sz="800" b="1" i="0" u="none" strike="noStrike" baseline="0">
                  <a:solidFill>
                    <a:srgbClr val="CC99FF"/>
                  </a:solidFill>
                  <a:latin typeface="ＭＳ Ｐゴシック"/>
                  <a:ea typeface="ＭＳ Ｐゴシック"/>
                </a:rPr>
                <a:t>0   </a:t>
              </a:r>
              <a:r>
                <a:rPr lang="ja-JP" altLang="en-US" sz="900" b="1" i="0" u="none" strike="noStrike" baseline="0">
                  <a:solidFill>
                    <a:srgbClr val="CC99FF"/>
                  </a:solidFill>
                  <a:latin typeface="ＭＳ Ｐゴシック"/>
                  <a:ea typeface="ＭＳ Ｐゴシック"/>
                </a:rPr>
                <a:t>　</a:t>
              </a:r>
              <a:r>
                <a:rPr lang="en-US" altLang="ja-JP" sz="900" b="1" i="0" u="none" strike="noStrike" baseline="0">
                  <a:solidFill>
                    <a:srgbClr val="CC99FF"/>
                  </a:solidFill>
                  <a:latin typeface="ＭＳ Ｐゴシック"/>
                  <a:ea typeface="ＭＳ Ｐゴシック"/>
                </a:rPr>
                <a:t>by</a:t>
              </a:r>
              <a:r>
                <a:rPr lang="ja-JP" altLang="en-US" sz="900" b="1" i="0" u="none" strike="noStrike" baseline="0">
                  <a:solidFill>
                    <a:srgbClr val="CC99FF"/>
                  </a:solidFill>
                  <a:latin typeface="ＭＳ Ｐゴシック"/>
                  <a:ea typeface="ＭＳ Ｐゴシック"/>
                </a:rPr>
                <a:t>　ＥＳＥ  </a:t>
              </a:r>
              <a:r>
                <a:rPr lang="en-US" altLang="ja-JP" sz="900" b="1" i="0" u="none" strike="noStrike" baseline="0">
                  <a:solidFill>
                    <a:srgbClr val="CC99FF"/>
                  </a:solidFill>
                  <a:latin typeface="ＭＳ Ｐゴシック"/>
                  <a:ea typeface="ＭＳ Ｐゴシック"/>
                </a:rPr>
                <a:t>SERVICE</a:t>
              </a:r>
            </a:p>
          </xdr:txBody>
        </xdr:sp>
      </xdr:grpSp>
      <xdr:sp macro="" textlink="">
        <xdr:nvSpPr>
          <xdr:cNvPr id="4107" name="Text Box 11"/>
          <xdr:cNvSpPr txBox="1">
            <a:spLocks noChangeArrowheads="1"/>
          </xdr:cNvSpPr>
        </xdr:nvSpPr>
        <xdr:spPr bwMode="auto">
          <a:xfrm>
            <a:off x="542" y="37"/>
            <a:ext cx="531" cy="30"/>
          </a:xfrm>
          <a:prstGeom prst="rect">
            <a:avLst/>
          </a:prstGeom>
          <a:solidFill>
            <a:srgbClr xmlns:mc="http://schemas.openxmlformats.org/markup-compatibility/2006" xmlns:a14="http://schemas.microsoft.com/office/drawing/2010/main" val="C0C0C0" mc:Ignorable="a14" a14:legacySpreadsheetColorIndex="22"/>
          </a:solidFill>
          <a:ln>
            <a:noFill/>
          </a:ln>
          <a:effectLst/>
          <a:extLst>
            <a:ext uri="{91240B29-F687-4F45-9708-019B960494DF}">
              <a14:hiddenLine xmlns:a14="http://schemas.microsoft.com/office/drawing/2010/main" w="3175">
                <a:solidFill>
                  <a:srgbClr xmlns:mc="http://schemas.openxmlformats.org/markup-compatibility/2006" val="FFFF99" mc:Ignorable="a14" a14:legacySpreadsheetColorIndex="4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defRPr sz="1000"/>
            </a:pPr>
            <a:r>
              <a:rPr lang="ja-JP" altLang="en-US" sz="1200" b="1" i="0" u="none" strike="noStrike" baseline="0">
                <a:solidFill>
                  <a:srgbClr val="808080"/>
                </a:solidFill>
                <a:latin typeface="ＭＳ Ｐゴシック"/>
                <a:ea typeface="ＭＳ Ｐゴシック"/>
              </a:rPr>
              <a:t>右上赤色のセルにカ－ソルを近づけると「コメント文」が、表示されます。</a:t>
            </a:r>
          </a:p>
        </xdr:txBody>
      </xdr:sp>
      <xdr:sp macro="" textlink="">
        <xdr:nvSpPr>
          <xdr:cNvPr id="4108" name="Text Box 12"/>
          <xdr:cNvSpPr txBox="1">
            <a:spLocks noChangeArrowheads="1"/>
          </xdr:cNvSpPr>
        </xdr:nvSpPr>
        <xdr:spPr bwMode="auto">
          <a:xfrm>
            <a:off x="153" y="90"/>
            <a:ext cx="94" cy="25"/>
          </a:xfrm>
          <a:prstGeom prst="rect">
            <a:avLst/>
          </a:prstGeom>
          <a:solidFill>
            <a:srgbClr xmlns:mc="http://schemas.openxmlformats.org/markup-compatibility/2006" xmlns:a14="http://schemas.microsoft.com/office/drawing/2010/main" val="FFFFCC" mc:Ignorable="a14" a14:legacySpreadsheetColorIndex="26"/>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入力セル</a:t>
            </a:r>
          </a:p>
        </xdr:txBody>
      </xdr:sp>
      <xdr:sp macro="" textlink="">
        <xdr:nvSpPr>
          <xdr:cNvPr id="4109" name="Text Box 13"/>
          <xdr:cNvSpPr txBox="1">
            <a:spLocks noChangeArrowheads="1"/>
          </xdr:cNvSpPr>
        </xdr:nvSpPr>
        <xdr:spPr bwMode="auto">
          <a:xfrm>
            <a:off x="258" y="90"/>
            <a:ext cx="90" cy="25"/>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400" b="1" i="0" u="none" strike="noStrike" baseline="0">
                <a:solidFill>
                  <a:srgbClr val="0000FF"/>
                </a:solidFill>
                <a:latin typeface="ＭＳ Ｐゴシック"/>
                <a:ea typeface="ＭＳ Ｐゴシック"/>
              </a:rPr>
              <a:t>自動表示</a:t>
            </a:r>
          </a:p>
        </xdr:txBody>
      </xdr:sp>
    </xdr:grpSp>
    <xdr:clientData/>
  </xdr:twoCellAnchor>
  <xdr:twoCellAnchor>
    <xdr:from>
      <xdr:col>3</xdr:col>
      <xdr:colOff>9525</xdr:colOff>
      <xdr:row>1</xdr:row>
      <xdr:rowOff>152400</xdr:rowOff>
    </xdr:from>
    <xdr:to>
      <xdr:col>21</xdr:col>
      <xdr:colOff>438150</xdr:colOff>
      <xdr:row>6</xdr:row>
      <xdr:rowOff>66675</xdr:rowOff>
    </xdr:to>
    <xdr:grpSp>
      <xdr:nvGrpSpPr>
        <xdr:cNvPr id="4110" name="Group 14"/>
        <xdr:cNvGrpSpPr>
          <a:grpSpLocks/>
        </xdr:cNvGrpSpPr>
      </xdr:nvGrpSpPr>
      <xdr:grpSpPr bwMode="auto">
        <a:xfrm>
          <a:off x="1438275" y="329293"/>
          <a:ext cx="8756196" cy="798739"/>
          <a:chOff x="151" y="34"/>
          <a:chExt cx="922" cy="81"/>
        </a:xfrm>
      </xdr:grpSpPr>
      <xdr:grpSp>
        <xdr:nvGrpSpPr>
          <xdr:cNvPr id="4111" name="Group 15"/>
          <xdr:cNvGrpSpPr>
            <a:grpSpLocks/>
          </xdr:cNvGrpSpPr>
        </xdr:nvGrpSpPr>
        <xdr:grpSpPr bwMode="auto">
          <a:xfrm>
            <a:off x="151" y="34"/>
            <a:ext cx="333" cy="43"/>
            <a:chOff x="152" y="15"/>
            <a:chExt cx="333" cy="43"/>
          </a:xfrm>
        </xdr:grpSpPr>
        <xdr:sp macro="" textlink="">
          <xdr:nvSpPr>
            <xdr:cNvPr id="4112" name="AutoShape 16"/>
            <xdr:cNvSpPr>
              <a:spLocks noChangeArrowheads="1"/>
            </xdr:cNvSpPr>
          </xdr:nvSpPr>
          <xdr:spPr bwMode="auto">
            <a:xfrm>
              <a:off x="152" y="16"/>
              <a:ext cx="333" cy="42"/>
            </a:xfrm>
            <a:prstGeom prst="parallelogram">
              <a:avLst>
                <a:gd name="adj" fmla="val 15637"/>
              </a:avLst>
            </a:prstGeom>
            <a:solidFill>
              <a:srgbClr xmlns:mc="http://schemas.openxmlformats.org/markup-compatibility/2006" xmlns:a14="http://schemas.microsoft.com/office/drawing/2010/main" val="00FFFF" mc:Ignorable="a14" a14:legacySpreadsheetColorIndex="1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13" name="Text Box 17"/>
            <xdr:cNvSpPr txBox="1">
              <a:spLocks noChangeArrowheads="1"/>
            </xdr:cNvSpPr>
          </xdr:nvSpPr>
          <xdr:spPr bwMode="auto">
            <a:xfrm>
              <a:off x="159" y="15"/>
              <a:ext cx="317" cy="4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alpha val="5000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en-US" altLang="ja-JP" sz="900" b="1" i="0" u="none" strike="noStrike" baseline="0">
                  <a:solidFill>
                    <a:srgbClr val="CCCCFF"/>
                  </a:solidFill>
                  <a:latin typeface="ＭＳ Ｐゴシック"/>
                  <a:ea typeface="ＭＳ Ｐゴシック"/>
                </a:rPr>
                <a:t> </a:t>
              </a:r>
              <a:r>
                <a:rPr lang="en-US" altLang="ja-JP" sz="1100" b="1" i="0" u="none" strike="noStrike" baseline="0">
                  <a:solidFill>
                    <a:srgbClr val="FF99CC"/>
                  </a:solidFill>
                  <a:latin typeface="Times New Roman"/>
                  <a:cs typeface="Times New Roman"/>
                </a:rPr>
                <a:t>Exchange circuit analisys calculation -VD</a:t>
              </a:r>
              <a:r>
                <a:rPr lang="ja-JP" altLang="en-US" sz="1100" b="1" i="0" u="none" strike="noStrike" baseline="0">
                  <a:solidFill>
                    <a:srgbClr val="FF99CC"/>
                  </a:solidFill>
                  <a:latin typeface="ＭＳ Ｐゴシック"/>
                  <a:ea typeface="ＭＳ Ｐゴシック"/>
                </a:rPr>
                <a:t>４</a:t>
              </a:r>
              <a:endParaRPr lang="ja-JP" altLang="en-US" sz="900" b="1" i="0" u="none" strike="noStrike" baseline="0">
                <a:solidFill>
                  <a:srgbClr val="CC99FF"/>
                </a:solidFill>
                <a:latin typeface="ＭＳ Ｐゴシック"/>
                <a:ea typeface="ＭＳ Ｐゴシック"/>
              </a:endParaRPr>
            </a:p>
            <a:p>
              <a:pPr algn="ctr" rtl="0">
                <a:lnSpc>
                  <a:spcPts val="1000"/>
                </a:lnSpc>
                <a:defRPr sz="1000"/>
              </a:pPr>
              <a:r>
                <a:rPr lang="ja-JP" altLang="en-US" sz="900" b="1" i="0" u="none" strike="noStrike" baseline="0">
                  <a:solidFill>
                    <a:srgbClr val="CC99FF"/>
                  </a:solidFill>
                  <a:latin typeface="ＭＳ Ｐゴシック"/>
                  <a:ea typeface="ＭＳ Ｐゴシック"/>
                </a:rPr>
                <a:t>２００５</a:t>
              </a:r>
              <a:r>
                <a:rPr lang="ja-JP" altLang="en-US" sz="800" b="1" i="0" u="none" strike="noStrike" baseline="0">
                  <a:solidFill>
                    <a:srgbClr val="CC99FF"/>
                  </a:solidFill>
                  <a:latin typeface="ＭＳ Ｐゴシック"/>
                  <a:ea typeface="ＭＳ Ｐゴシック"/>
                </a:rPr>
                <a:t>　Ｏｃｔ．</a:t>
              </a:r>
              <a:r>
                <a:rPr lang="ja-JP" altLang="en-US" sz="800" b="1" i="0" u="none" strike="noStrike" baseline="0">
                  <a:solidFill>
                    <a:srgbClr val="CC99FF"/>
                  </a:solidFill>
                  <a:latin typeface="Times New Roman"/>
                  <a:cs typeface="Times New Roman"/>
                </a:rPr>
                <a:t>  </a:t>
              </a:r>
              <a:r>
                <a:rPr lang="ja-JP" altLang="en-US" sz="800" b="1" i="0" u="none" strike="noStrike" baseline="0">
                  <a:solidFill>
                    <a:srgbClr val="CC99FF"/>
                  </a:solidFill>
                  <a:latin typeface="ＭＳ Ｐゴシック"/>
                  <a:ea typeface="ＭＳ Ｐゴシック"/>
                </a:rPr>
                <a:t>Ｖｅｒ　４．</a:t>
              </a:r>
              <a:r>
                <a:rPr lang="en-US" altLang="ja-JP" sz="800" b="1" i="0" u="none" strike="noStrike" baseline="0">
                  <a:solidFill>
                    <a:srgbClr val="CC99FF"/>
                  </a:solidFill>
                  <a:latin typeface="ＭＳ Ｐゴシック"/>
                  <a:ea typeface="ＭＳ Ｐゴシック"/>
                </a:rPr>
                <a:t>0   </a:t>
              </a:r>
              <a:r>
                <a:rPr lang="ja-JP" altLang="en-US" sz="900" b="1" i="0" u="none" strike="noStrike" baseline="0">
                  <a:solidFill>
                    <a:srgbClr val="CC99FF"/>
                  </a:solidFill>
                  <a:latin typeface="ＭＳ Ｐゴシック"/>
                  <a:ea typeface="ＭＳ Ｐゴシック"/>
                </a:rPr>
                <a:t>　</a:t>
              </a:r>
              <a:r>
                <a:rPr lang="en-US" altLang="ja-JP" sz="900" b="1" i="0" u="none" strike="noStrike" baseline="0">
                  <a:solidFill>
                    <a:srgbClr val="CC99FF"/>
                  </a:solidFill>
                  <a:latin typeface="ＭＳ Ｐゴシック"/>
                  <a:ea typeface="ＭＳ Ｐゴシック"/>
                </a:rPr>
                <a:t>by</a:t>
              </a:r>
              <a:r>
                <a:rPr lang="ja-JP" altLang="en-US" sz="900" b="1" i="0" u="none" strike="noStrike" baseline="0">
                  <a:solidFill>
                    <a:srgbClr val="CC99FF"/>
                  </a:solidFill>
                  <a:latin typeface="ＭＳ Ｐゴシック"/>
                  <a:ea typeface="ＭＳ Ｐゴシック"/>
                </a:rPr>
                <a:t>　ＥＳＥ  </a:t>
              </a:r>
              <a:r>
                <a:rPr lang="en-US" altLang="ja-JP" sz="900" b="1" i="0" u="none" strike="noStrike" baseline="0">
                  <a:solidFill>
                    <a:srgbClr val="CC99FF"/>
                  </a:solidFill>
                  <a:latin typeface="ＭＳ Ｐゴシック"/>
                  <a:ea typeface="ＭＳ Ｐゴシック"/>
                </a:rPr>
                <a:t>SERVICE</a:t>
              </a:r>
            </a:p>
          </xdr:txBody>
        </xdr:sp>
      </xdr:grpSp>
      <xdr:sp macro="" textlink="">
        <xdr:nvSpPr>
          <xdr:cNvPr id="4114" name="Text Box 18"/>
          <xdr:cNvSpPr txBox="1">
            <a:spLocks noChangeArrowheads="1"/>
          </xdr:cNvSpPr>
        </xdr:nvSpPr>
        <xdr:spPr bwMode="auto">
          <a:xfrm>
            <a:off x="542" y="37"/>
            <a:ext cx="531" cy="30"/>
          </a:xfrm>
          <a:prstGeom prst="rect">
            <a:avLst/>
          </a:prstGeom>
          <a:solidFill>
            <a:srgbClr xmlns:mc="http://schemas.openxmlformats.org/markup-compatibility/2006" xmlns:a14="http://schemas.microsoft.com/office/drawing/2010/main" val="C0C0C0" mc:Ignorable="a14" a14:legacySpreadsheetColorIndex="22"/>
          </a:solidFill>
          <a:ln>
            <a:noFill/>
          </a:ln>
          <a:effectLst/>
          <a:extLst>
            <a:ext uri="{91240B29-F687-4F45-9708-019B960494DF}">
              <a14:hiddenLine xmlns:a14="http://schemas.microsoft.com/office/drawing/2010/main" w="3175">
                <a:solidFill>
                  <a:srgbClr xmlns:mc="http://schemas.openxmlformats.org/markup-compatibility/2006" val="FFFF99" mc:Ignorable="a14" a14:legacySpreadsheetColorIndex="4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defRPr sz="1000"/>
            </a:pPr>
            <a:r>
              <a:rPr lang="ja-JP" altLang="en-US" sz="1200" b="1" i="0" u="none" strike="noStrike" baseline="0">
                <a:solidFill>
                  <a:srgbClr val="808080"/>
                </a:solidFill>
                <a:latin typeface="ＭＳ Ｐゴシック"/>
                <a:ea typeface="ＭＳ Ｐゴシック"/>
              </a:rPr>
              <a:t>右上赤色のセルにカ－ソルを近づけると「コメント文」が、表示されます。</a:t>
            </a:r>
          </a:p>
        </xdr:txBody>
      </xdr:sp>
      <xdr:sp macro="" textlink="">
        <xdr:nvSpPr>
          <xdr:cNvPr id="4115" name="Text Box 19"/>
          <xdr:cNvSpPr txBox="1">
            <a:spLocks noChangeArrowheads="1"/>
          </xdr:cNvSpPr>
        </xdr:nvSpPr>
        <xdr:spPr bwMode="auto">
          <a:xfrm>
            <a:off x="153" y="90"/>
            <a:ext cx="94" cy="25"/>
          </a:xfrm>
          <a:prstGeom prst="rect">
            <a:avLst/>
          </a:prstGeom>
          <a:solidFill>
            <a:srgbClr xmlns:mc="http://schemas.openxmlformats.org/markup-compatibility/2006" xmlns:a14="http://schemas.microsoft.com/office/drawing/2010/main" val="FFFFCC" mc:Ignorable="a14" a14:legacySpreadsheetColorIndex="26"/>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入力セル</a:t>
            </a:r>
          </a:p>
        </xdr:txBody>
      </xdr:sp>
      <xdr:sp macro="" textlink="">
        <xdr:nvSpPr>
          <xdr:cNvPr id="4116" name="Text Box 20"/>
          <xdr:cNvSpPr txBox="1">
            <a:spLocks noChangeArrowheads="1"/>
          </xdr:cNvSpPr>
        </xdr:nvSpPr>
        <xdr:spPr bwMode="auto">
          <a:xfrm>
            <a:off x="258" y="90"/>
            <a:ext cx="90" cy="25"/>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400" b="1" i="0" u="none" strike="noStrike" baseline="0">
                <a:solidFill>
                  <a:srgbClr val="0000FF"/>
                </a:solidFill>
                <a:latin typeface="ＭＳ Ｐゴシック"/>
                <a:ea typeface="ＭＳ Ｐゴシック"/>
              </a:rPr>
              <a:t>自動表示</a:t>
            </a:r>
          </a:p>
        </xdr:txBody>
      </xdr:sp>
    </xdr:grpSp>
    <xdr:clientData/>
  </xdr:twoCellAnchor>
  <xdr:twoCellAnchor>
    <xdr:from>
      <xdr:col>4</xdr:col>
      <xdr:colOff>1524000</xdr:colOff>
      <xdr:row>5</xdr:row>
      <xdr:rowOff>161925</xdr:rowOff>
    </xdr:from>
    <xdr:to>
      <xdr:col>13</xdr:col>
      <xdr:colOff>497542</xdr:colOff>
      <xdr:row>5</xdr:row>
      <xdr:rowOff>161925</xdr:rowOff>
    </xdr:to>
    <xdr:cxnSp macro="">
      <xdr:nvCxnSpPr>
        <xdr:cNvPr id="22" name="直線矢印コネクタ 21"/>
        <xdr:cNvCxnSpPr/>
      </xdr:nvCxnSpPr>
      <xdr:spPr>
        <a:xfrm>
          <a:off x="3609975" y="1019175"/>
          <a:ext cx="2593042"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6</xdr:row>
      <xdr:rowOff>0</xdr:rowOff>
    </xdr:from>
    <xdr:to>
      <xdr:col>22</xdr:col>
      <xdr:colOff>533400</xdr:colOff>
      <xdr:row>6</xdr:row>
      <xdr:rowOff>0</xdr:rowOff>
    </xdr:to>
    <xdr:cxnSp macro="">
      <xdr:nvCxnSpPr>
        <xdr:cNvPr id="25" name="直線矢印コネクタ 24"/>
        <xdr:cNvCxnSpPr/>
      </xdr:nvCxnSpPr>
      <xdr:spPr>
        <a:xfrm>
          <a:off x="6210300" y="1028700"/>
          <a:ext cx="4648200"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6</xdr:row>
      <xdr:rowOff>0</xdr:rowOff>
    </xdr:from>
    <xdr:to>
      <xdr:col>31</xdr:col>
      <xdr:colOff>0</xdr:colOff>
      <xdr:row>6</xdr:row>
      <xdr:rowOff>0</xdr:rowOff>
    </xdr:to>
    <xdr:cxnSp macro="">
      <xdr:nvCxnSpPr>
        <xdr:cNvPr id="28" name="直線矢印コネクタ 27"/>
        <xdr:cNvCxnSpPr/>
      </xdr:nvCxnSpPr>
      <xdr:spPr>
        <a:xfrm>
          <a:off x="10868025" y="1028700"/>
          <a:ext cx="4114800"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9</xdr:col>
      <xdr:colOff>190500</xdr:colOff>
      <xdr:row>4</xdr:row>
      <xdr:rowOff>123825</xdr:rowOff>
    </xdr:from>
    <xdr:to>
      <xdr:col>12</xdr:col>
      <xdr:colOff>469527</xdr:colOff>
      <xdr:row>5</xdr:row>
      <xdr:rowOff>133350</xdr:rowOff>
    </xdr:to>
    <xdr:sp macro="" textlink="">
      <xdr:nvSpPr>
        <xdr:cNvPr id="31" name="Text Box 159"/>
        <xdr:cNvSpPr txBox="1">
          <a:spLocks noChangeArrowheads="1"/>
        </xdr:cNvSpPr>
      </xdr:nvSpPr>
      <xdr:spPr bwMode="auto">
        <a:xfrm>
          <a:off x="4305300" y="809625"/>
          <a:ext cx="1288677" cy="180975"/>
        </a:xfrm>
        <a:prstGeom prst="rect">
          <a:avLst/>
        </a:prstGeom>
        <a:solidFill>
          <a:srgbClr val="FFC000"/>
        </a:solidFill>
        <a:ln>
          <a:noFill/>
        </a:ln>
        <a:effectLst/>
        <a:extLst/>
      </xdr:spPr>
      <xdr:txBody>
        <a:bodyPr vertOverflow="clip" wrap="square" lIns="36576" tIns="22860" rIns="36576" bIns="22860" anchor="ctr" upright="1"/>
        <a:lstStyle/>
        <a:p>
          <a:pPr algn="ctr" rtl="0">
            <a:defRPr sz="1000"/>
          </a:pPr>
          <a:r>
            <a:rPr lang="ja-JP" altLang="en-US" sz="1400" b="1" i="0" u="none" strike="noStrike" baseline="0">
              <a:solidFill>
                <a:sysClr val="windowText" lastClr="000000"/>
              </a:solidFill>
              <a:latin typeface="ＭＳ Ｐゴシック"/>
              <a:ea typeface="ＭＳ Ｐゴシック"/>
            </a:rPr>
            <a:t>① は操作不可</a:t>
          </a:r>
          <a:endParaRPr lang="ja-JP" altLang="en-US">
            <a:solidFill>
              <a:sysClr val="windowText" lastClr="000000"/>
            </a:solidFill>
          </a:endParaRPr>
        </a:p>
      </xdr:txBody>
    </xdr:sp>
    <xdr:clientData/>
  </xdr:twoCellAnchor>
  <xdr:twoCellAnchor editAs="absolute">
    <xdr:from>
      <xdr:col>6</xdr:col>
      <xdr:colOff>19050</xdr:colOff>
      <xdr:row>33</xdr:row>
      <xdr:rowOff>123825</xdr:rowOff>
    </xdr:from>
    <xdr:to>
      <xdr:col>11</xdr:col>
      <xdr:colOff>536202</xdr:colOff>
      <xdr:row>35</xdr:row>
      <xdr:rowOff>79002</xdr:rowOff>
    </xdr:to>
    <xdr:sp macro="" textlink="">
      <xdr:nvSpPr>
        <xdr:cNvPr id="33" name="Text Box 159"/>
        <xdr:cNvSpPr txBox="1">
          <a:spLocks noChangeArrowheads="1"/>
        </xdr:cNvSpPr>
      </xdr:nvSpPr>
      <xdr:spPr bwMode="auto">
        <a:xfrm>
          <a:off x="3790950" y="5534025"/>
          <a:ext cx="1288677" cy="336177"/>
        </a:xfrm>
        <a:prstGeom prst="rect">
          <a:avLst/>
        </a:prstGeom>
        <a:solidFill>
          <a:srgbClr val="FFC000"/>
        </a:solidFill>
        <a:ln>
          <a:noFill/>
        </a:ln>
        <a:effectLst/>
        <a:extLst/>
      </xdr:spPr>
      <xdr:txBody>
        <a:bodyPr vertOverflow="clip" wrap="square" lIns="36576" tIns="22860" rIns="36576" bIns="22860" anchor="ctr" upright="1"/>
        <a:lstStyle/>
        <a:p>
          <a:pPr algn="ctr" rtl="0">
            <a:defRPr sz="1000"/>
          </a:pPr>
          <a:r>
            <a:rPr lang="ja-JP" altLang="en-US" sz="14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ご 試 用 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_RECS/10_&#26360;&#39006;/52_HPage-Excel/12_VD&#27491;&#35215;&#29256;/10_Excel/VD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VD2"/>
      <sheetName val="VD2-Data "/>
      <sheetName val="請求書"/>
    </sheetNames>
    <sheetDataSet>
      <sheetData sheetId="0"/>
      <sheetData sheetId="1">
        <row r="6">
          <cell r="D6">
            <v>8</v>
          </cell>
          <cell r="E6">
            <v>3.01</v>
          </cell>
          <cell r="F6">
            <v>0.13500000000000001</v>
          </cell>
          <cell r="G6">
            <v>0.21</v>
          </cell>
          <cell r="I6">
            <v>8</v>
          </cell>
          <cell r="J6">
            <v>3.01</v>
          </cell>
          <cell r="K6">
            <v>0.154</v>
          </cell>
          <cell r="L6">
            <v>0.21</v>
          </cell>
          <cell r="N6">
            <v>8</v>
          </cell>
        </row>
        <row r="7">
          <cell r="D7">
            <v>14</v>
          </cell>
          <cell r="E7">
            <v>1.71</v>
          </cell>
          <cell r="F7">
            <v>0.127</v>
          </cell>
          <cell r="G7">
            <v>0.24</v>
          </cell>
          <cell r="I7">
            <v>14</v>
          </cell>
          <cell r="J7">
            <v>1.71</v>
          </cell>
          <cell r="K7">
            <v>0.14499999999999999</v>
          </cell>
          <cell r="L7">
            <v>0.24</v>
          </cell>
          <cell r="N7">
            <v>14</v>
          </cell>
        </row>
        <row r="8">
          <cell r="D8">
            <v>22</v>
          </cell>
          <cell r="E8">
            <v>1.08</v>
          </cell>
          <cell r="F8">
            <v>0.11799999999999999</v>
          </cell>
          <cell r="G8">
            <v>0.27</v>
          </cell>
          <cell r="I8">
            <v>22</v>
          </cell>
          <cell r="J8">
            <v>1.08</v>
          </cell>
          <cell r="K8">
            <v>0.13500000000000001</v>
          </cell>
          <cell r="L8">
            <v>0.27</v>
          </cell>
          <cell r="N8">
            <v>22</v>
          </cell>
        </row>
        <row r="9">
          <cell r="D9">
            <v>38</v>
          </cell>
          <cell r="E9">
            <v>0.626</v>
          </cell>
          <cell r="F9">
            <v>0.108</v>
          </cell>
          <cell r="G9">
            <v>0.32</v>
          </cell>
          <cell r="I9">
            <v>38</v>
          </cell>
          <cell r="J9">
            <v>0.626</v>
          </cell>
          <cell r="K9">
            <v>0.124</v>
          </cell>
          <cell r="L9">
            <v>0.32</v>
          </cell>
          <cell r="N9">
            <v>38</v>
          </cell>
          <cell r="O9">
            <v>0.626</v>
          </cell>
          <cell r="P9">
            <v>0.28698368235161531</v>
          </cell>
        </row>
        <row r="10">
          <cell r="D10">
            <v>60</v>
          </cell>
          <cell r="E10">
            <v>0.39700000000000002</v>
          </cell>
          <cell r="F10">
            <v>0.1</v>
          </cell>
          <cell r="G10">
            <v>0.37</v>
          </cell>
          <cell r="I10">
            <v>60</v>
          </cell>
          <cell r="J10">
            <v>0.39700000000000002</v>
          </cell>
          <cell r="K10">
            <v>0.115</v>
          </cell>
          <cell r="L10">
            <v>0.37</v>
          </cell>
          <cell r="N10">
            <v>60</v>
          </cell>
        </row>
        <row r="11">
          <cell r="D11">
            <v>100</v>
          </cell>
          <cell r="E11">
            <v>0.23899999999999999</v>
          </cell>
          <cell r="F11">
            <v>9.2899999999999996E-2</v>
          </cell>
          <cell r="G11">
            <v>0.45</v>
          </cell>
          <cell r="I11">
            <v>100</v>
          </cell>
          <cell r="J11">
            <v>0.23899999999999999</v>
          </cell>
          <cell r="K11">
            <v>0.107</v>
          </cell>
          <cell r="L11">
            <v>0.45</v>
          </cell>
          <cell r="N11">
            <v>100</v>
          </cell>
        </row>
        <row r="12">
          <cell r="D12">
            <v>150</v>
          </cell>
          <cell r="E12">
            <v>0.159</v>
          </cell>
          <cell r="F12">
            <v>8.7900000000000006E-2</v>
          </cell>
          <cell r="G12">
            <v>0.52</v>
          </cell>
          <cell r="I12">
            <v>150</v>
          </cell>
          <cell r="J12">
            <v>0.159</v>
          </cell>
          <cell r="K12">
            <v>0.10199999999999999</v>
          </cell>
          <cell r="L12">
            <v>0.52</v>
          </cell>
          <cell r="N12">
            <v>150</v>
          </cell>
        </row>
        <row r="13">
          <cell r="D13">
            <v>200</v>
          </cell>
          <cell r="E13">
            <v>0.12</v>
          </cell>
          <cell r="F13">
            <v>8.72E-2</v>
          </cell>
          <cell r="G13">
            <v>0.51</v>
          </cell>
          <cell r="I13">
            <v>200</v>
          </cell>
          <cell r="J13">
            <v>0.12</v>
          </cell>
          <cell r="K13">
            <v>0.1</v>
          </cell>
          <cell r="L13">
            <v>0.51</v>
          </cell>
          <cell r="N13">
            <v>200</v>
          </cell>
        </row>
        <row r="14">
          <cell r="D14">
            <v>250</v>
          </cell>
          <cell r="E14">
            <v>9.8100000000000007E-2</v>
          </cell>
          <cell r="F14">
            <v>8.4699999999999998E-2</v>
          </cell>
          <cell r="G14">
            <v>0.55000000000000004</v>
          </cell>
          <cell r="I14">
            <v>250</v>
          </cell>
          <cell r="J14">
            <v>9.7699999999999995E-2</v>
          </cell>
          <cell r="K14">
            <v>9.7600000000000006E-2</v>
          </cell>
          <cell r="L14">
            <v>0.55000000000000004</v>
          </cell>
          <cell r="N14">
            <v>250</v>
          </cell>
        </row>
        <row r="15">
          <cell r="D15">
            <v>325</v>
          </cell>
          <cell r="E15">
            <v>7.6399999999999996E-2</v>
          </cell>
          <cell r="F15">
            <v>8.2100000000000006E-2</v>
          </cell>
          <cell r="G15">
            <v>0.61</v>
          </cell>
          <cell r="I15">
            <v>325</v>
          </cell>
          <cell r="J15">
            <v>7.5899999999999995E-2</v>
          </cell>
          <cell r="K15">
            <v>9.4299999999999995E-2</v>
          </cell>
          <cell r="L15">
            <v>0.61</v>
          </cell>
          <cell r="N15">
            <v>325</v>
          </cell>
        </row>
        <row r="16">
          <cell r="D16">
            <v>400</v>
          </cell>
          <cell r="E16">
            <v>6.3299999999999995E-2</v>
          </cell>
          <cell r="F16">
            <v>7.9799999999999996E-2</v>
          </cell>
          <cell r="G16">
            <v>0.67</v>
          </cell>
          <cell r="I16">
            <v>400</v>
          </cell>
          <cell r="J16">
            <v>6.2700000000000006E-2</v>
          </cell>
          <cell r="K16">
            <v>9.2200000000000004E-2</v>
          </cell>
          <cell r="L16">
            <v>0.67</v>
          </cell>
          <cell r="N16">
            <v>400</v>
          </cell>
        </row>
        <row r="17">
          <cell r="D17">
            <v>500</v>
          </cell>
          <cell r="E17">
            <v>5.21E-2</v>
          </cell>
          <cell r="F17">
            <v>7.7899999999999997E-2</v>
          </cell>
          <cell r="G17">
            <v>0.74</v>
          </cell>
          <cell r="I17">
            <v>500</v>
          </cell>
          <cell r="J17">
            <v>5.1299999999999998E-2</v>
          </cell>
          <cell r="K17">
            <v>0.09</v>
          </cell>
          <cell r="L17">
            <v>0.74</v>
          </cell>
          <cell r="N17">
            <v>500</v>
          </cell>
        </row>
        <row r="18">
          <cell r="D18">
            <v>600</v>
          </cell>
          <cell r="E18">
            <v>4.4900000000000002E-2</v>
          </cell>
          <cell r="F18">
            <v>7.8100000000000003E-2</v>
          </cell>
          <cell r="G18">
            <v>0.71</v>
          </cell>
          <cell r="I18">
            <v>600</v>
          </cell>
          <cell r="J18">
            <v>4.3999999999999997E-2</v>
          </cell>
          <cell r="K18">
            <v>8.9700000000000002E-2</v>
          </cell>
          <cell r="L18">
            <v>0.71</v>
          </cell>
          <cell r="N18">
            <v>600</v>
          </cell>
        </row>
        <row r="27">
          <cell r="D27">
            <v>1000</v>
          </cell>
          <cell r="E27">
            <v>0.4975</v>
          </cell>
          <cell r="F27">
            <v>4.9752000000000001</v>
          </cell>
          <cell r="G27">
            <v>5.000012128985289</v>
          </cell>
        </row>
        <row r="28">
          <cell r="D28">
            <v>1500</v>
          </cell>
          <cell r="E28">
            <v>0.54730000000000001</v>
          </cell>
          <cell r="F28">
            <v>5.4726999999999997</v>
          </cell>
          <cell r="G28">
            <v>5.4999984163634084</v>
          </cell>
        </row>
        <row r="29">
          <cell r="D29">
            <v>2000</v>
          </cell>
          <cell r="E29">
            <v>0.59699999999999998</v>
          </cell>
          <cell r="F29">
            <v>5.9702000000000002</v>
          </cell>
          <cell r="G29">
            <v>5.9999747532802168</v>
          </cell>
        </row>
        <row r="30">
          <cell r="D30">
            <v>3000</v>
          </cell>
          <cell r="E30">
            <v>0.64680000000000004</v>
          </cell>
          <cell r="F30">
            <v>6.4676999999999998</v>
          </cell>
          <cell r="G30">
            <v>6.499961040652475</v>
          </cell>
        </row>
        <row r="31">
          <cell r="D31">
            <v>4500</v>
          </cell>
          <cell r="E31">
            <v>0.69650000000000001</v>
          </cell>
          <cell r="F31">
            <v>6.9653</v>
          </cell>
          <cell r="G31">
            <v>7.000036881331412</v>
          </cell>
        </row>
        <row r="32">
          <cell r="D32">
            <v>6000</v>
          </cell>
          <cell r="E32">
            <v>0.74629999999999996</v>
          </cell>
          <cell r="F32">
            <v>7.4627999999999997</v>
          </cell>
          <cell r="G32">
            <v>7.5000231686308805</v>
          </cell>
        </row>
        <row r="33">
          <cell r="D33">
            <v>7500</v>
          </cell>
          <cell r="E33">
            <v>0.79600000000000004</v>
          </cell>
          <cell r="F33">
            <v>7.9603000000000002</v>
          </cell>
          <cell r="G33">
            <v>7.9999995056249853</v>
          </cell>
        </row>
        <row r="34">
          <cell r="D34">
            <v>10000</v>
          </cell>
          <cell r="E34">
            <v>0.89549999999999996</v>
          </cell>
          <cell r="F34">
            <v>8.9552999999999994</v>
          </cell>
          <cell r="G34">
            <v>8.9999621299203252</v>
          </cell>
        </row>
        <row r="35">
          <cell r="D35">
            <v>15000</v>
          </cell>
          <cell r="E35">
            <v>0.995</v>
          </cell>
          <cell r="F35">
            <v>9.9504000000000001</v>
          </cell>
          <cell r="G35">
            <v>10.000024257970578</v>
          </cell>
        </row>
        <row r="36">
          <cell r="D36">
            <v>20000</v>
          </cell>
          <cell r="E36">
            <v>1.194</v>
          </cell>
          <cell r="F36">
            <v>11.9405</v>
          </cell>
          <cell r="G36">
            <v>12.000049010316582</v>
          </cell>
        </row>
        <row r="37">
          <cell r="G37" t="str">
            <v/>
          </cell>
        </row>
        <row r="38">
          <cell r="G38" t="str">
            <v/>
          </cell>
        </row>
        <row r="39">
          <cell r="G39" t="str">
            <v/>
          </cell>
        </row>
        <row r="40">
          <cell r="G40" t="str">
            <v/>
          </cell>
        </row>
        <row r="41">
          <cell r="G41" t="str">
            <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2"/>
  <dimension ref="A1:BK199"/>
  <sheetViews>
    <sheetView tabSelected="1" view="pageBreakPreview" zoomScale="70" zoomScaleNormal="85" zoomScaleSheetLayoutView="70" workbookViewId="0"/>
  </sheetViews>
  <sheetFormatPr defaultRowHeight="13.5" x14ac:dyDescent="0.15"/>
  <cols>
    <col min="1" max="1" width="3.625" style="3" customWidth="1"/>
    <col min="2" max="2" width="12.5" style="3" customWidth="1"/>
    <col min="3" max="3" width="2.625" style="3" customWidth="1"/>
    <col min="4" max="4" width="8.625" style="3" customWidth="1"/>
    <col min="5" max="5" width="20.625" style="3" customWidth="1"/>
    <col min="6" max="9" width="1.5" style="3" customWidth="1"/>
    <col min="10" max="10" width="4.125" style="3" customWidth="1"/>
    <col min="11" max="11" width="1.5" style="3" customWidth="1"/>
    <col min="12" max="13" width="7.625" style="3" customWidth="1"/>
    <col min="14" max="14" width="6.625" style="3" customWidth="1"/>
    <col min="15" max="15" width="9.625" style="3" customWidth="1"/>
    <col min="16" max="19" width="6.125" style="3" customWidth="1"/>
    <col min="20" max="20" width="5.625" style="3" customWidth="1"/>
    <col min="21" max="24" width="7.125" style="3" customWidth="1"/>
    <col min="25" max="25" width="2.625" style="3" customWidth="1"/>
    <col min="26" max="26" width="9.125" style="3" customWidth="1"/>
    <col min="27" max="27" width="8.125" style="3" customWidth="1"/>
    <col min="28" max="28" width="7.125" style="3" customWidth="1"/>
    <col min="29" max="29" width="2.625" style="3" customWidth="1"/>
    <col min="30" max="30" width="9.125" style="3" customWidth="1"/>
    <col min="31" max="31" width="8.125" style="3" customWidth="1"/>
    <col min="32" max="32" width="11.625" style="3" customWidth="1"/>
    <col min="33" max="33" width="9.625" style="3" customWidth="1"/>
    <col min="34" max="34" width="3.625" style="3" customWidth="1"/>
    <col min="35" max="35" width="11.625" style="3" customWidth="1"/>
    <col min="36" max="37" width="5.625" style="3" customWidth="1"/>
    <col min="38" max="38" width="23.625" style="3" customWidth="1"/>
    <col min="39" max="39" width="2.5" style="32" customWidth="1"/>
    <col min="40" max="50" width="5.625" style="32" hidden="1" customWidth="1"/>
    <col min="51" max="54" width="5.625" style="3" hidden="1" customWidth="1"/>
    <col min="55" max="55" width="2.5" style="3" customWidth="1"/>
    <col min="56" max="56" width="22.5" style="3" customWidth="1"/>
    <col min="57" max="57" width="2.5" style="3" customWidth="1"/>
    <col min="58" max="58" width="22.5" style="3" customWidth="1"/>
    <col min="59" max="59" width="2.5" style="3" customWidth="1"/>
    <col min="60" max="95" width="6.625" style="3" customWidth="1"/>
    <col min="96" max="16384" width="9" style="3"/>
  </cols>
  <sheetData>
    <row r="1" spans="2:56" x14ac:dyDescent="0.15">
      <c r="M1" s="159"/>
      <c r="N1" s="159"/>
      <c r="O1" s="159"/>
      <c r="P1" s="159"/>
      <c r="Q1" s="159"/>
      <c r="R1" s="159"/>
      <c r="S1" s="159"/>
      <c r="T1" s="159"/>
      <c r="U1" s="159"/>
      <c r="V1" s="159"/>
      <c r="W1" s="159"/>
      <c r="X1" s="159"/>
      <c r="Y1" s="159"/>
      <c r="Z1" s="159"/>
      <c r="AA1" s="159"/>
      <c r="AC1" s="4"/>
      <c r="AD1" s="4"/>
      <c r="AE1" s="4"/>
    </row>
    <row r="2" spans="2:56" ht="13.5" customHeight="1" x14ac:dyDescent="0.15">
      <c r="M2" s="159"/>
      <c r="N2" s="159"/>
      <c r="O2" s="159"/>
      <c r="P2" s="159"/>
      <c r="Q2" s="159"/>
      <c r="R2" s="159"/>
      <c r="S2" s="159"/>
      <c r="T2" s="159"/>
      <c r="U2" s="159"/>
      <c r="V2" s="159"/>
      <c r="W2" s="159"/>
      <c r="X2" s="159"/>
      <c r="Y2" s="159"/>
      <c r="Z2" s="159"/>
      <c r="AA2" s="159"/>
      <c r="AB2" s="4"/>
      <c r="AC2" s="34"/>
      <c r="AD2" s="4"/>
      <c r="AE2" s="4"/>
    </row>
    <row r="3" spans="2:56" ht="13.5" customHeight="1" x14ac:dyDescent="0.15">
      <c r="D3" s="35"/>
      <c r="L3" s="193" t="s">
        <v>146</v>
      </c>
      <c r="AB3" s="4"/>
      <c r="AC3" s="34"/>
      <c r="AD3" s="4"/>
      <c r="AE3" s="4"/>
    </row>
    <row r="4" spans="2:56" x14ac:dyDescent="0.15">
      <c r="T4" s="33"/>
      <c r="W4" s="36"/>
      <c r="X4" s="3" t="s">
        <v>147</v>
      </c>
      <c r="AB4" s="37"/>
      <c r="AC4" s="38"/>
      <c r="AD4" s="38"/>
      <c r="AE4" s="38"/>
      <c r="AG4" s="39"/>
    </row>
    <row r="5" spans="2:56" ht="13.5" customHeight="1" x14ac:dyDescent="0.15">
      <c r="M5" s="415"/>
      <c r="N5" s="416" t="s">
        <v>53</v>
      </c>
      <c r="O5" s="417"/>
      <c r="P5" s="416" t="s">
        <v>54</v>
      </c>
      <c r="Q5" s="418"/>
      <c r="R5" s="417"/>
      <c r="T5" s="33"/>
      <c r="V5" s="40"/>
      <c r="W5" s="415"/>
      <c r="X5" s="415" t="s">
        <v>148</v>
      </c>
      <c r="Z5" s="3" t="s">
        <v>148</v>
      </c>
      <c r="AB5" s="41"/>
      <c r="AC5" s="42"/>
      <c r="AD5" s="43"/>
      <c r="AE5" s="42"/>
      <c r="AF5" s="44"/>
      <c r="AI5" s="31"/>
      <c r="AJ5" s="415"/>
      <c r="AK5" s="423"/>
      <c r="AL5" s="415"/>
      <c r="AS5" s="32">
        <f>AS24</f>
        <v>0.98095559028801649</v>
      </c>
      <c r="AV5" s="45"/>
    </row>
    <row r="6" spans="2:56" ht="13.5" customHeight="1" x14ac:dyDescent="0.15">
      <c r="M6" s="46"/>
      <c r="N6" s="419"/>
      <c r="O6" s="420"/>
      <c r="T6" s="47"/>
      <c r="W6" s="421"/>
      <c r="X6" s="422"/>
      <c r="Z6" s="3" t="s">
        <v>149</v>
      </c>
      <c r="AC6" s="4"/>
      <c r="AD6" s="48"/>
      <c r="AE6" s="421"/>
      <c r="AF6" s="422"/>
      <c r="AG6" s="39"/>
      <c r="AK6" s="414"/>
      <c r="AL6" s="414"/>
      <c r="AU6" s="49"/>
      <c r="AV6" s="49"/>
    </row>
    <row r="7" spans="2:56" ht="14.25" x14ac:dyDescent="0.15">
      <c r="F7" s="50"/>
      <c r="G7" s="50"/>
      <c r="H7" s="50"/>
      <c r="I7" s="50"/>
      <c r="J7" s="50"/>
      <c r="K7" s="50"/>
      <c r="L7" s="424" t="s">
        <v>225</v>
      </c>
      <c r="M7" s="50"/>
      <c r="N7" s="421"/>
      <c r="O7" s="422"/>
      <c r="P7" s="50"/>
      <c r="Q7" s="50"/>
      <c r="R7" s="50"/>
      <c r="S7" s="424" t="s">
        <v>227</v>
      </c>
      <c r="T7" s="50"/>
      <c r="U7" s="51"/>
      <c r="V7" s="50"/>
      <c r="W7" s="421"/>
      <c r="X7" s="422"/>
      <c r="Y7" s="50"/>
      <c r="Z7" s="50"/>
      <c r="AA7" s="424" t="s">
        <v>226</v>
      </c>
      <c r="AB7" s="50"/>
      <c r="AC7" s="50"/>
      <c r="AD7" s="50"/>
      <c r="AE7" s="421"/>
      <c r="AF7" s="422"/>
      <c r="AG7" s="50"/>
      <c r="AH7" s="50"/>
      <c r="AI7" s="50"/>
      <c r="AJ7" s="50"/>
      <c r="AK7" s="414"/>
      <c r="AL7" s="414"/>
      <c r="AM7" s="52"/>
      <c r="AN7" s="52"/>
      <c r="AO7" s="52"/>
      <c r="AP7" s="52"/>
      <c r="AQ7" s="52"/>
      <c r="AR7" s="52"/>
      <c r="AS7" s="53"/>
      <c r="AT7" s="53"/>
      <c r="AU7" s="53"/>
      <c r="AV7" s="53"/>
      <c r="AW7" s="52"/>
      <c r="AX7" s="52"/>
      <c r="AY7" s="52"/>
      <c r="AZ7" s="52"/>
      <c r="BA7" s="52"/>
      <c r="BB7" s="52"/>
      <c r="BC7" s="52"/>
      <c r="BD7" s="52"/>
    </row>
    <row r="8" spans="2:56" ht="14.25" thickBot="1" x14ac:dyDescent="0.2">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5"/>
      <c r="AK8" s="55"/>
      <c r="AL8" s="56"/>
      <c r="AM8" s="52"/>
      <c r="AN8" s="52"/>
      <c r="AO8" s="52"/>
      <c r="AP8" s="52"/>
      <c r="AQ8" s="52"/>
      <c r="AR8" s="52"/>
      <c r="AS8" s="52"/>
      <c r="AT8" s="52"/>
      <c r="AU8" s="52"/>
      <c r="AV8" s="57"/>
      <c r="AW8" s="52"/>
      <c r="AX8" s="52"/>
      <c r="AY8" s="52"/>
      <c r="AZ8" s="52"/>
      <c r="BA8" s="52"/>
      <c r="BB8" s="52"/>
      <c r="BC8" s="52"/>
      <c r="BD8" s="52"/>
    </row>
    <row r="9" spans="2:56" ht="15.75" customHeight="1" x14ac:dyDescent="0.15">
      <c r="D9" s="326" t="s">
        <v>0</v>
      </c>
      <c r="E9" s="342" t="s">
        <v>1</v>
      </c>
      <c r="F9" s="306" t="s">
        <v>150</v>
      </c>
      <c r="G9" s="307"/>
      <c r="H9" s="307"/>
      <c r="I9" s="307"/>
      <c r="J9" s="307"/>
      <c r="K9" s="308"/>
      <c r="L9" s="322" t="s">
        <v>2</v>
      </c>
      <c r="M9" s="323"/>
      <c r="N9" s="321"/>
      <c r="O9" s="319" t="s">
        <v>3</v>
      </c>
      <c r="P9" s="320"/>
      <c r="Q9" s="320"/>
      <c r="R9" s="320"/>
      <c r="S9" s="320"/>
      <c r="T9" s="320"/>
      <c r="U9" s="320"/>
      <c r="V9" s="320"/>
      <c r="W9" s="321"/>
      <c r="X9" s="322" t="s">
        <v>151</v>
      </c>
      <c r="Y9" s="278"/>
      <c r="Z9" s="278"/>
      <c r="AA9" s="329"/>
      <c r="AB9" s="277" t="s">
        <v>152</v>
      </c>
      <c r="AC9" s="278"/>
      <c r="AD9" s="278"/>
      <c r="AE9" s="279"/>
      <c r="AF9" s="58" t="s">
        <v>4</v>
      </c>
      <c r="AG9" s="260" t="s">
        <v>5</v>
      </c>
      <c r="AH9" s="261"/>
      <c r="AI9" s="262"/>
      <c r="AJ9" s="250" t="s">
        <v>6</v>
      </c>
      <c r="AK9" s="251"/>
      <c r="AL9" s="270" t="s">
        <v>7</v>
      </c>
      <c r="AM9" s="59"/>
      <c r="AN9" s="59"/>
      <c r="AO9" s="52"/>
      <c r="AP9" s="59"/>
      <c r="AQ9" s="52"/>
      <c r="AR9" s="59"/>
      <c r="AS9" s="59"/>
      <c r="AT9" s="59"/>
      <c r="AU9" s="59"/>
      <c r="AV9" s="59"/>
      <c r="AW9" s="59"/>
      <c r="AX9" s="59"/>
      <c r="AY9" s="52"/>
      <c r="AZ9" s="52"/>
      <c r="BA9" s="52"/>
      <c r="BB9" s="52"/>
      <c r="BC9" s="52"/>
      <c r="BD9" s="52"/>
    </row>
    <row r="10" spans="2:56" ht="15.75" customHeight="1" x14ac:dyDescent="0.15">
      <c r="D10" s="327"/>
      <c r="E10" s="343"/>
      <c r="F10" s="309" t="s">
        <v>8</v>
      </c>
      <c r="G10" s="310"/>
      <c r="H10" s="310"/>
      <c r="I10" s="310"/>
      <c r="J10" s="310"/>
      <c r="K10" s="311"/>
      <c r="L10" s="353" t="s">
        <v>9</v>
      </c>
      <c r="M10" s="282"/>
      <c r="N10" s="354" t="s">
        <v>10</v>
      </c>
      <c r="O10" s="315" t="s">
        <v>11</v>
      </c>
      <c r="P10" s="316"/>
      <c r="Q10" s="316"/>
      <c r="R10" s="316"/>
      <c r="S10" s="316"/>
      <c r="T10" s="316"/>
      <c r="U10" s="316"/>
      <c r="V10" s="317"/>
      <c r="W10" s="351" t="s">
        <v>12</v>
      </c>
      <c r="X10" s="287" t="s">
        <v>13</v>
      </c>
      <c r="Y10" s="281"/>
      <c r="Z10" s="281"/>
      <c r="AA10" s="61" t="s">
        <v>14</v>
      </c>
      <c r="AB10" s="280" t="s">
        <v>13</v>
      </c>
      <c r="AC10" s="281"/>
      <c r="AD10" s="282"/>
      <c r="AE10" s="61" t="s">
        <v>14</v>
      </c>
      <c r="AF10" s="62" t="s">
        <v>15</v>
      </c>
      <c r="AG10" s="263" t="s">
        <v>16</v>
      </c>
      <c r="AH10" s="264"/>
      <c r="AI10" s="63" t="s">
        <v>17</v>
      </c>
      <c r="AJ10" s="252"/>
      <c r="AK10" s="253"/>
      <c r="AL10" s="271"/>
      <c r="AM10" s="59"/>
      <c r="AN10" s="64" t="s">
        <v>153</v>
      </c>
      <c r="AO10" s="64" t="s">
        <v>154</v>
      </c>
      <c r="AP10" s="64" t="s">
        <v>155</v>
      </c>
      <c r="AQ10" s="64" t="s">
        <v>156</v>
      </c>
      <c r="AR10" s="64" t="s">
        <v>157</v>
      </c>
      <c r="AS10" s="64" t="s">
        <v>158</v>
      </c>
      <c r="AT10" s="64" t="s">
        <v>159</v>
      </c>
      <c r="AU10" s="64"/>
      <c r="AV10" s="65" t="s">
        <v>160</v>
      </c>
      <c r="AW10" s="64" t="s">
        <v>161</v>
      </c>
      <c r="AX10" s="64" t="s">
        <v>162</v>
      </c>
      <c r="AY10" s="52"/>
      <c r="AZ10" s="64" t="s">
        <v>163</v>
      </c>
      <c r="BA10" s="64" t="s">
        <v>20</v>
      </c>
      <c r="BB10" s="52"/>
      <c r="BC10" s="52"/>
      <c r="BD10" s="52"/>
    </row>
    <row r="11" spans="2:56" ht="15" customHeight="1" x14ac:dyDescent="0.15">
      <c r="D11" s="327"/>
      <c r="E11" s="343"/>
      <c r="F11" s="66"/>
      <c r="G11" s="67" t="s">
        <v>164</v>
      </c>
      <c r="H11" s="68"/>
      <c r="I11" s="69" t="s">
        <v>165</v>
      </c>
      <c r="J11" s="70"/>
      <c r="K11" s="71" t="s">
        <v>166</v>
      </c>
      <c r="L11" s="359" t="s">
        <v>18</v>
      </c>
      <c r="M11" s="72" t="s">
        <v>19</v>
      </c>
      <c r="N11" s="355"/>
      <c r="O11" s="312" t="s">
        <v>20</v>
      </c>
      <c r="P11" s="60"/>
      <c r="Q11" s="350" t="s">
        <v>21</v>
      </c>
      <c r="R11" s="350" t="s">
        <v>22</v>
      </c>
      <c r="S11" s="358" t="s">
        <v>23</v>
      </c>
      <c r="T11" s="73"/>
      <c r="U11" s="318" t="s">
        <v>167</v>
      </c>
      <c r="V11" s="74" t="s">
        <v>168</v>
      </c>
      <c r="W11" s="352"/>
      <c r="X11" s="340" t="s">
        <v>24</v>
      </c>
      <c r="Y11" s="289" t="s">
        <v>25</v>
      </c>
      <c r="Z11" s="283" t="s">
        <v>26</v>
      </c>
      <c r="AA11" s="330" t="s">
        <v>27</v>
      </c>
      <c r="AB11" s="283" t="s">
        <v>24</v>
      </c>
      <c r="AC11" s="289" t="s">
        <v>25</v>
      </c>
      <c r="AD11" s="283" t="s">
        <v>26</v>
      </c>
      <c r="AE11" s="335" t="s">
        <v>27</v>
      </c>
      <c r="AF11" s="75" t="s">
        <v>28</v>
      </c>
      <c r="AG11" s="356" t="s">
        <v>169</v>
      </c>
      <c r="AH11" s="288"/>
      <c r="AI11" s="285" t="s">
        <v>29</v>
      </c>
      <c r="AJ11" s="273"/>
      <c r="AK11" s="274"/>
      <c r="AL11" s="271"/>
      <c r="AM11" s="59"/>
      <c r="AN11" s="76" t="s">
        <v>170</v>
      </c>
      <c r="AO11" s="64" t="s">
        <v>171</v>
      </c>
      <c r="AP11" s="64" t="s">
        <v>172</v>
      </c>
      <c r="AQ11" s="64" t="s">
        <v>173</v>
      </c>
      <c r="AR11" s="64" t="s">
        <v>174</v>
      </c>
      <c r="AS11" s="64" t="s">
        <v>175</v>
      </c>
      <c r="AT11" s="64" t="s">
        <v>176</v>
      </c>
      <c r="AU11" s="64"/>
      <c r="AV11" s="65" t="s">
        <v>177</v>
      </c>
      <c r="AW11" s="64" t="s">
        <v>178</v>
      </c>
      <c r="AX11" s="59"/>
      <c r="AY11" s="52"/>
      <c r="AZ11" s="64" t="s">
        <v>179</v>
      </c>
      <c r="BA11" s="52"/>
      <c r="BB11" s="52"/>
      <c r="BC11" s="52"/>
      <c r="BD11" s="52"/>
    </row>
    <row r="12" spans="2:56" ht="15" customHeight="1" x14ac:dyDescent="0.15">
      <c r="B12" s="163" t="s">
        <v>204</v>
      </c>
      <c r="D12" s="327"/>
      <c r="E12" s="343"/>
      <c r="F12" s="348" t="s">
        <v>30</v>
      </c>
      <c r="G12" s="281"/>
      <c r="H12" s="281"/>
      <c r="I12" s="281"/>
      <c r="J12" s="281"/>
      <c r="K12" s="349"/>
      <c r="L12" s="360"/>
      <c r="M12" s="72" t="s">
        <v>180</v>
      </c>
      <c r="N12" s="77" t="s">
        <v>31</v>
      </c>
      <c r="O12" s="313"/>
      <c r="P12" s="78" t="s">
        <v>32</v>
      </c>
      <c r="Q12" s="350"/>
      <c r="R12" s="350"/>
      <c r="S12" s="358"/>
      <c r="T12" s="79" t="s">
        <v>33</v>
      </c>
      <c r="U12" s="318"/>
      <c r="V12" s="80" t="s">
        <v>34</v>
      </c>
      <c r="W12" s="81" t="s">
        <v>31</v>
      </c>
      <c r="X12" s="341"/>
      <c r="Y12" s="290"/>
      <c r="Z12" s="284"/>
      <c r="AA12" s="331"/>
      <c r="AB12" s="357"/>
      <c r="AC12" s="290"/>
      <c r="AD12" s="284"/>
      <c r="AE12" s="336"/>
      <c r="AF12" s="75" t="s">
        <v>35</v>
      </c>
      <c r="AG12" s="287" t="s">
        <v>181</v>
      </c>
      <c r="AH12" s="288"/>
      <c r="AI12" s="286"/>
      <c r="AJ12" s="275" t="s">
        <v>36</v>
      </c>
      <c r="AK12" s="276"/>
      <c r="AL12" s="271"/>
      <c r="AM12" s="59"/>
      <c r="AN12" s="64" t="s">
        <v>182</v>
      </c>
      <c r="AO12" s="64" t="s">
        <v>183</v>
      </c>
      <c r="AP12" s="64" t="s">
        <v>184</v>
      </c>
      <c r="AQ12" s="64" t="s">
        <v>185</v>
      </c>
      <c r="AR12" s="64" t="s">
        <v>186</v>
      </c>
      <c r="AS12" s="64" t="s">
        <v>187</v>
      </c>
      <c r="AT12" s="64" t="s">
        <v>188</v>
      </c>
      <c r="AU12" s="64" t="s">
        <v>188</v>
      </c>
      <c r="AV12" s="64"/>
      <c r="AW12" s="64" t="s">
        <v>189</v>
      </c>
      <c r="AX12" s="64" t="s">
        <v>190</v>
      </c>
      <c r="AY12" s="52"/>
      <c r="AZ12" s="64" t="s">
        <v>191</v>
      </c>
      <c r="BA12" s="52"/>
      <c r="BB12" s="52"/>
      <c r="BC12" s="52"/>
      <c r="BD12" s="52"/>
    </row>
    <row r="13" spans="2:56" ht="15" customHeight="1" x14ac:dyDescent="0.15">
      <c r="B13" s="82" t="s">
        <v>55</v>
      </c>
      <c r="D13" s="328"/>
      <c r="E13" s="344"/>
      <c r="F13" s="345" t="s">
        <v>37</v>
      </c>
      <c r="G13" s="346"/>
      <c r="H13" s="346"/>
      <c r="I13" s="346"/>
      <c r="J13" s="346"/>
      <c r="K13" s="347"/>
      <c r="L13" s="83" t="s">
        <v>38</v>
      </c>
      <c r="M13" s="84" t="s">
        <v>39</v>
      </c>
      <c r="N13" s="85"/>
      <c r="O13" s="314"/>
      <c r="P13" s="86" t="s">
        <v>40</v>
      </c>
      <c r="Q13" s="87" t="s">
        <v>41</v>
      </c>
      <c r="R13" s="87" t="s">
        <v>42</v>
      </c>
      <c r="S13" s="88" t="s">
        <v>43</v>
      </c>
      <c r="T13" s="89" t="s">
        <v>44</v>
      </c>
      <c r="U13" s="90" t="s">
        <v>45</v>
      </c>
      <c r="V13" s="91" t="s">
        <v>46</v>
      </c>
      <c r="W13" s="92" t="s">
        <v>47</v>
      </c>
      <c r="X13" s="332" t="s">
        <v>48</v>
      </c>
      <c r="Y13" s="333"/>
      <c r="Z13" s="333"/>
      <c r="AA13" s="334"/>
      <c r="AB13" s="337" t="s">
        <v>49</v>
      </c>
      <c r="AC13" s="338"/>
      <c r="AD13" s="338"/>
      <c r="AE13" s="339"/>
      <c r="AF13" s="93" t="s">
        <v>50</v>
      </c>
      <c r="AG13" s="267" t="s">
        <v>51</v>
      </c>
      <c r="AH13" s="268"/>
      <c r="AI13" s="269"/>
      <c r="AJ13" s="94" t="s">
        <v>192</v>
      </c>
      <c r="AK13" s="95" t="s">
        <v>52</v>
      </c>
      <c r="AL13" s="272"/>
      <c r="AM13" s="59"/>
      <c r="AN13" s="64" t="s">
        <v>193</v>
      </c>
      <c r="AO13" s="64" t="s">
        <v>194</v>
      </c>
      <c r="AP13" s="64" t="s">
        <v>195</v>
      </c>
      <c r="AQ13" s="64" t="s">
        <v>196</v>
      </c>
      <c r="AR13" s="64" t="s">
        <v>197</v>
      </c>
      <c r="AS13" s="64" t="s">
        <v>198</v>
      </c>
      <c r="AT13" s="64" t="s">
        <v>199</v>
      </c>
      <c r="AU13" s="64" t="s">
        <v>199</v>
      </c>
      <c r="AV13" s="64"/>
      <c r="AW13" s="64" t="s">
        <v>200</v>
      </c>
      <c r="AX13" s="59"/>
      <c r="AY13" s="52"/>
      <c r="AZ13" s="64" t="s">
        <v>201</v>
      </c>
      <c r="BA13" s="52"/>
      <c r="BB13" s="52"/>
      <c r="BC13" s="52"/>
      <c r="BD13" s="52"/>
    </row>
    <row r="14" spans="2:56" ht="15.75" hidden="1" customHeight="1" x14ac:dyDescent="0.15">
      <c r="D14" s="379"/>
      <c r="E14" s="382"/>
      <c r="F14" s="385"/>
      <c r="G14" s="387" t="str">
        <f>IF(F14="","","φ")</f>
        <v/>
      </c>
      <c r="H14" s="408"/>
      <c r="I14" s="387" t="str">
        <f>IF(H14="","","W")</f>
        <v/>
      </c>
      <c r="J14" s="367"/>
      <c r="K14" s="369" t="str">
        <f>IF(J14="","","V")</f>
        <v/>
      </c>
      <c r="L14" s="401"/>
      <c r="M14" s="96"/>
      <c r="N14" s="403"/>
      <c r="O14" s="97"/>
      <c r="P14" s="98"/>
      <c r="Q14" s="99"/>
      <c r="R14" s="100"/>
      <c r="S14" s="101" t="str">
        <f>IF(R14="","",IF(Q14="",P14/R14,P14/(Q14*R14)))</f>
        <v/>
      </c>
      <c r="T14" s="102"/>
      <c r="U14" s="103" t="str">
        <f>IF(OR(BA16="",S14=""),"",S14*1000*T14/(SQRT(BA14)*BA16))</f>
        <v/>
      </c>
      <c r="V14" s="324" t="str">
        <f>IF(AND(N(U14)=0,N(U15)=0,N(U16)=0,N(U17)=0),"",BA16/(SUM(U14:U17)))</f>
        <v/>
      </c>
      <c r="W14" s="373"/>
      <c r="X14" s="389"/>
      <c r="Y14" s="390"/>
      <c r="Z14" s="391"/>
      <c r="AA14" s="395"/>
      <c r="AB14" s="397"/>
      <c r="AC14" s="390"/>
      <c r="AD14" s="391"/>
      <c r="AE14" s="399"/>
      <c r="AF14" s="104" t="str">
        <f>IF(OR(AND(AF10="",N(BA12)=0,BA16&lt;&gt;0),D14&lt;&gt;""),AX16/AQ15,"")</f>
        <v/>
      </c>
      <c r="AG14" s="234" t="str">
        <f>IF(BA16=0,"",IF(AD16="",AX14,IF(AND(D14&lt;&gt;"",AU14=""),AX16*SQRT(AP16^2+AP17^2)/SQRT(AS14^2+AS15^2)/AQ15,AX14*SQRT(AP16^2+AP17^2)/SQRT(AS14^2+AS15^2))))</f>
        <v/>
      </c>
      <c r="AH14" s="235"/>
      <c r="AI14" s="105" t="str">
        <f>IF(AG14="","",IF(N(U14)&lt;0,-AX14*AQ15/SQRT(AS14^2+AS15^2),AX14*AQ15/SQRT(AS14^2+AS15^2)))</f>
        <v/>
      </c>
      <c r="AJ14" s="254"/>
      <c r="AK14" s="255"/>
      <c r="AL14" s="106"/>
      <c r="AM14" s="59"/>
      <c r="AN14" s="107" t="b">
        <f>IF(BA14="","",IF(AND(BA14=1,F16=50,L14="油入自冷"),VLOOKUP(L16,変１,2,FALSE),IF(AND(BA14=1,F16=50,L14="モ－ルド絶縁"),VLOOKUP(L16,変１,7,FALSE),IF(AND(BA14=1,F16=60,L14="油入自冷"),VLOOKUP(L16,変１,12,FALSE),IF(AND(BA14=1,F16=60,L14="モ－ルド絶縁"),VLOOKUP(L16,変１,17,FALSE),FALSE)))))</f>
        <v>0</v>
      </c>
      <c r="AO14" s="107">
        <f>IF(ISNA(VLOOKUP(L16,変ＵＳＥＲ,2,FALSE)),0,VLOOKUP(L16,変ＵＳＥＲ,2,FALSE))</f>
        <v>0</v>
      </c>
      <c r="AP14" s="108">
        <f>IF(N14="",0,N14*1000/BA16^2/SQRT(BA14))</f>
        <v>0</v>
      </c>
      <c r="AQ14" s="107" t="b">
        <f>IF(BA14=1,2,IF(BA14=3,SQRT(3),FALSE))</f>
        <v>0</v>
      </c>
      <c r="AR14" s="109" t="str">
        <f>IF(X14="","",IF(X14="600V IV",VLOOKUP(X16,ＩＶ,2,FALSE),IF(X14="600V CV-T",VLOOKUP(X16,ＣＶＴ,2,FALSE),IF(OR(X14="600V CV-1C",X14="600V CV-2C",X14="600V CV-3C",X14="600V CV-4C"),VLOOKUP(X16,ＣＶ２３Ｃ,2,FALSE),VLOOKUP(X16,ＣＵＳＥＲ,2,FALSE)))))</f>
        <v/>
      </c>
      <c r="AS14" s="107" t="str">
        <f>IF(AB17="",AP16,AP16+(AB17/1000))</f>
        <v/>
      </c>
      <c r="AT14" s="110" t="e">
        <f>IF(AU16="",AT16,AU16)</f>
        <v>#VALUE!</v>
      </c>
      <c r="AU14" s="110" t="str">
        <f>IF(D14="","",IF(AND(D18="",D22&lt;&gt;"",AV17=AV25),AT22,IF(AND(D18="",D22="",D26&lt;&gt;"",AV21=AV29),AT26,IF(AND(D18="",D22="",D26="",D30&lt;&gt;"",AV25=AV33),AT30,IF(AND(D18="",D22="",D26="",D30="",D34&lt;&gt;"",AV29=AV37),AT34,IF(AND(D18="",D22="",D26="",D30="",D34="",D38&lt;&gt;"",AV33=AV41),AT38,IF(AND(D18="",D22="",D26="",D30="",D34="",D38="",D42&lt;&gt;"",AV37=AV45),AT42,"")))))))</f>
        <v/>
      </c>
      <c r="AV14" s="110" t="str">
        <f>IF(L14="発電機",IF(ISNA(VLOOKUP(L16,ＡＣＧ,2,FALSE)),0,VLOOKUP(L16,ＡＣＧ,2,FALSE)),"")</f>
        <v/>
      </c>
      <c r="AW14" s="111" t="e">
        <f>IF(AT14="","",AT14/((AT14*AP14)^2+(AT15*AP14-1)^2))</f>
        <v>#VALUE!</v>
      </c>
      <c r="AX14" s="112" t="str">
        <f>IF(BA16=0,"",IF(OR(AX10="",AF14&lt;&gt;""),AF14*SQRT(AS16^2+AS17^2)/SQRT(AT16^2+AT17^2),AX10*SQRT(AS16^2+AS17^2)/SQRT(AT16^2+AT17^2)))</f>
        <v/>
      </c>
      <c r="AY14" s="113">
        <f>IF(N(AY16)=10^30,10^30,IF(N(AY20)=10^30,(N(AY16)*(N(AY20)^2+N(AY21)^2)+N(AY20)*(N(AY16)^2+N(AY17)^2))/((N(AY16)+N(AY20))^2+(N(AY17)+N(AY21))^2),(N(AY16)*(N(AY18)^2+N(AY19)^2)+N(AY18)*(N(AY16)^2+N(AY17)^2))/((N(AY16)+N(AY18))^2+(N(AY17)+N(AY19))^2)))</f>
        <v>1E+30</v>
      </c>
      <c r="AZ14" s="52"/>
      <c r="BA14" s="114">
        <f>IF(AND(F14="",SUM(S14:S17)&lt;&gt;0),BA10,F14)</f>
        <v>0</v>
      </c>
      <c r="BB14" s="115">
        <f>IF(AND(BA14=3,S14&lt;&gt;""),1,0)</f>
        <v>0</v>
      </c>
      <c r="BC14" s="52"/>
      <c r="BD14" s="52"/>
    </row>
    <row r="15" spans="2:56" ht="17.25" hidden="1" customHeight="1" x14ac:dyDescent="0.15">
      <c r="D15" s="380"/>
      <c r="E15" s="383"/>
      <c r="F15" s="386"/>
      <c r="G15" s="388"/>
      <c r="H15" s="409"/>
      <c r="I15" s="388"/>
      <c r="J15" s="368"/>
      <c r="K15" s="370"/>
      <c r="L15" s="402"/>
      <c r="M15" s="116" t="str">
        <f>IF(L14="発電機",SQRT(AV14^2+AV15^2),IF(L16="","",IF(OR(L14="油入自冷",L14="モ－ルド絶縁"),IF(BA14=1,SQRT(AN14^2+AN15^2),IF(BA14=3,SQRT(AN16^2+AN17^2))),SQRT(AO14^2+AO15^2))))</f>
        <v/>
      </c>
      <c r="N15" s="404"/>
      <c r="O15" s="117"/>
      <c r="P15" s="118"/>
      <c r="Q15" s="119"/>
      <c r="R15" s="120"/>
      <c r="S15" s="121" t="str">
        <f>IF(R15="","",IF(Q15="",P15/R15,P15/(Q15*R15)))</f>
        <v/>
      </c>
      <c r="T15" s="122"/>
      <c r="U15" s="123" t="str">
        <f>IF(OR(BA16="",S15=""),"",S15*1000*T15/(SQRT(BA14)*BA16))</f>
        <v/>
      </c>
      <c r="V15" s="325"/>
      <c r="W15" s="374"/>
      <c r="X15" s="392"/>
      <c r="Y15" s="393"/>
      <c r="Z15" s="394"/>
      <c r="AA15" s="396"/>
      <c r="AB15" s="398"/>
      <c r="AC15" s="393"/>
      <c r="AD15" s="394"/>
      <c r="AE15" s="400"/>
      <c r="AF15" s="124" t="str">
        <f>IF(OR(AF14="",AG10&lt;&gt;""),"",AF14*AQ15/SQRT(AT14^2+AT15^2))</f>
        <v/>
      </c>
      <c r="AG15" s="205" t="str">
        <f>IF(AG14="","",100*AG14*AQ15/BA16)</f>
        <v/>
      </c>
      <c r="AH15" s="206"/>
      <c r="AI15" s="207" t="str">
        <f>IF(BA16=0,"",IF(AI10="",AX16/SQRT(AT14^2+AT15^2),IF(AI18="","",IF(AT14&lt;0,-AX14*AQ11/SQRT(AT14^2+AT15^2),AX14*AQ11/SQRT(AT14^2+AT15^2)))))</f>
        <v/>
      </c>
      <c r="AJ15" s="256"/>
      <c r="AK15" s="257"/>
      <c r="AL15" s="125"/>
      <c r="AM15" s="59"/>
      <c r="AN15" s="107" t="b">
        <f>IF(BA14="","",IF(AND(BA14=1,F16=50,L14="油入自冷"),VLOOKUP(L16,変１,3,FALSE),IF(AND(BA14=1,F16=50,L14="モ－ルド絶縁"),VLOOKUP(L16,変１,8,FALSE),IF(AND(BA14=1,F16=60,L14="油入自冷"),VLOOKUP(L16,変１,13,FALSE),IF(AND(BA14=1,F16=60,L14="モ－ルド絶縁"),VLOOKUP(L16,変１,18,FALSE),FALSE)))))</f>
        <v>0</v>
      </c>
      <c r="AO15" s="107">
        <f>IF(ISNA(VLOOKUP(L16,変ＵＳＥＲ,3,FALSE)),0,VLOOKUP(L16,変ＵＳＥＲ,3,FALSE)*BA17/50)</f>
        <v>0</v>
      </c>
      <c r="AP15" s="108">
        <f>IF(W14="",0,W14*1000/BA16^2/SQRT(BA14))</f>
        <v>0</v>
      </c>
      <c r="AQ15" s="107">
        <f>IF(AND(BA14=1,BA15=2),1,IF(AND(BA14=3,BA15=3),1,IF(AND(BA14=1,BA15=3),2,IF(AND(BA14=3,BA15=4)*OR(BB14=1,BB15=1,BB16=1,BB17=1),1,SQRT(3)))))</f>
        <v>1.7320508075688772</v>
      </c>
      <c r="AR15" s="109" t="str">
        <f>IF(X14="","",IF(X14="600V IV",VLOOKUP(X16,ＩＶ,3,FALSE),IF(X14="600V CV-T",VLOOKUP(X16,ＣＶＴ,3,FALSE),IF(OR(X14="600V CV-1C",X14="600V CV-2C",X14="600V CV-3C",X14="600V CV-4C"),VLOOKUP(X16,ＣＶ２３Ｃ,3,FALSE),VLOOKUP(X16,ＣＵＳＥＲ,3,FALSE)))))</f>
        <v/>
      </c>
      <c r="AS15" s="107" t="str">
        <f>IF(AD17="",AP17,AP17+(AD17/1000))</f>
        <v/>
      </c>
      <c r="AT15" s="110" t="e">
        <f>IF(AU17="",AT17,AU17)</f>
        <v>#VALUE!</v>
      </c>
      <c r="AU15" s="110" t="str">
        <f>IF(D14="","",IF(AND(D18="",D22&lt;&gt;"",AV17=AV25),AT23,IF(AND(D18="",D22="",D26&lt;&gt;"",AV21=AV29),AT27,IF(AND(D18="",D22="",D26="",D30&lt;&gt;"",AV25=AV33),AT31,IF(AND(D18="",D22="",D26="",D30="",D34&lt;&gt;"",AV29=AV37),AT35,IF(AND(D18="",D22="",D26="",D30="",D34="",D38&lt;&gt;"",AV33=AV41),AT39,IF(AND(D18="",D22="",D26="",D30="",D34="",D38="",D42&lt;&gt;"",AV37=AV45),AT43,"")))))))</f>
        <v/>
      </c>
      <c r="AV15" s="109" t="str">
        <f>IF(L14="発電機",IF(ISNA(VLOOKUP(L16,ＡＣＧ,3,FALSE)),0,VLOOKUP(L16,ＡＣＧ,3,FALSE)*BA17/50),"")</f>
        <v/>
      </c>
      <c r="AW15" s="111" t="e">
        <f>IF(AT15="","",(AT15-AP14*(AT14^2+AT15^2))/((AT14*AP14)^2+(AP14*AT15-1)^2))</f>
        <v>#VALUE!</v>
      </c>
      <c r="AX15" s="112"/>
      <c r="AY15" s="113">
        <f>IF(N(AY17)=10^30,10^30,IF(N(AY21)=10^30,(N(AY17)*(N(AY20)^2+N(AY21)^2)+N(AY21)*(N(AY16)^2+N(AY17)^2))/((N(AY16)+N(AY20))^2+(N(AY17)+N(AY21))^2),(N(AY17)*(N(AY18)^2+N(AY19)^2)+N(AY19)*(N(AY16)^2+N(AY17)^2))/((N(AY16)+N(AY18))^2+(N(AY17)+N(AY19))^2)))</f>
        <v>1E+30</v>
      </c>
      <c r="AZ15" s="52"/>
      <c r="BA15" s="114">
        <f>IF(AND(H14="",SUM(S14:S17)&lt;&gt;0),BA11,H14)</f>
        <v>0</v>
      </c>
      <c r="BB15" s="115">
        <f>IF(AND(BA14=3,S15&lt;&gt;""),1,0)</f>
        <v>0</v>
      </c>
      <c r="BC15" s="52"/>
      <c r="BD15" s="52"/>
    </row>
    <row r="16" spans="2:56" ht="16.5" hidden="1" customHeight="1" x14ac:dyDescent="0.15">
      <c r="D16" s="380"/>
      <c r="E16" s="383"/>
      <c r="F16" s="406"/>
      <c r="G16" s="406"/>
      <c r="H16" s="406"/>
      <c r="I16" s="406"/>
      <c r="J16" s="406"/>
      <c r="K16" s="407"/>
      <c r="L16" s="375"/>
      <c r="M16" s="376"/>
      <c r="N16" s="404"/>
      <c r="O16" s="117"/>
      <c r="P16" s="126"/>
      <c r="Q16" s="127"/>
      <c r="R16" s="120"/>
      <c r="S16" s="121" t="str">
        <f>IF(R16="","",IF(Q16="",P16/R16,P16/(Q16*R16)))</f>
        <v/>
      </c>
      <c r="T16" s="122"/>
      <c r="U16" s="128" t="str">
        <f>IF(OR(BA16="",S16=""),"",S16*1000*T16/(SQRT(BA14)*BA16))</f>
        <v/>
      </c>
      <c r="V16" s="129" t="str">
        <f>IF(AND(N(U14)=0,N(U15)=0,N(U16)=0,N(U17)=0),"",V14*(P14*R14*T14+P15*R15*T15+P16*R16*T16+P17*R17*T17)/(P14*T14+P15*T15+P16*T16+P17*T17))</f>
        <v/>
      </c>
      <c r="W16" s="377" t="str">
        <f>IF(AND(N(AP16)=0,N(AP17)=0,N(AP15)=0),"",IF(AP17&gt;=0,COS(ATAN(AP17/AP16)),-COS(ATAN(AP17/AP16))))</f>
        <v/>
      </c>
      <c r="X16" s="130"/>
      <c r="Y16" s="131"/>
      <c r="Z16" s="132"/>
      <c r="AA16" s="133"/>
      <c r="AB16" s="134"/>
      <c r="AC16" s="131"/>
      <c r="AD16" s="132"/>
      <c r="AE16" s="135"/>
      <c r="AF16" s="136" t="str">
        <f>IF(OR(AF14="",AG10&lt;&gt;""),"",BA16/SQRT(AW16^2+AW17^2))</f>
        <v/>
      </c>
      <c r="AG16" s="205" t="str">
        <f>IF(AG14="","",100*((BA16/AQ15)-AG14)/(BA16/AQ15))</f>
        <v/>
      </c>
      <c r="AH16" s="206"/>
      <c r="AI16" s="208"/>
      <c r="AJ16" s="265"/>
      <c r="AK16" s="258"/>
      <c r="AL16" s="137"/>
      <c r="AM16" s="59"/>
      <c r="AN16" s="138" t="b">
        <f>IF(BA14="","",IF(AND(BA14=3,F16=50,L14="油入自冷"),VLOOKUP(L16,変３,2,FALSE),IF(AND(BA14=3,F16=50,L14="モ－ルド絶縁"),VLOOKUP(L16,変３,7,FALSE),IF(AND(BA14=3,F16=60,L14="油入自冷"),VLOOKUP(L16,変３,12,FALSE),IF(AND(BA14=3,F16=60,L14="モ－ルド絶縁"),VLOOKUP(L16,変３,17,FALSE),FALSE)))))</f>
        <v>0</v>
      </c>
      <c r="AO16" s="109" t="str">
        <f>IF(AND(L10="",N(AY14)&lt;10^29),AY14,"")</f>
        <v/>
      </c>
      <c r="AP16" s="139" t="str">
        <f>IF(V14="","",IF(AND(N(V16)=0,N(AP15)=0),"",AQ16/((AQ16*AP15)^2+(AP15*AQ17-1)^2)))</f>
        <v/>
      </c>
      <c r="AQ16" s="107">
        <f>IF(N(V16)=0,10^30,V16)</f>
        <v>1E+30</v>
      </c>
      <c r="AR16" s="109" t="str">
        <f>IF(AB14="","",IF(AB14="600V IV",VLOOKUP(AB16,ＩＶ,2,FALSE),IF(AB14="600V CV-T",VLOOKUP(AB16,ＣＶＴ,2,FALSE),IF(OR(AB14="600V CV-1C",AB14="600V CV-2C",AB14="600V CV-3C",AB14="600V CV-4C"),VLOOKUP(AB16,ＣＶ２３Ｃ,2,FALSE),VLOOKUP(AB16,ＣＵＳＥＲ,2,FALSE)))))</f>
        <v/>
      </c>
      <c r="AS16" s="107" t="e">
        <f>IF(OR(AND(AS18="",AS19=""),AND(D14="",D18&lt;&gt;"")),AS14,(AS14*(AT18^2+AT19^2)+AT18*(AS14^2+AS15^2))/((AS14+AT18)^2+(AS15+AT19)^2))</f>
        <v>#VALUE!</v>
      </c>
      <c r="AT16" s="110" t="e">
        <f>IF(X17="",AS16,N(AS16)+(X17/1000))</f>
        <v>#VALUE!</v>
      </c>
      <c r="AU16" s="110" t="str">
        <f>IF(AU14="","",(AT16*(AU14^2+AU15^2)+AU14*(AT16^2+AT17^2))/((AT16+AU14)^2+(AT17+AU15)^2))</f>
        <v/>
      </c>
      <c r="AV16" s="110">
        <f>IF(BA16=0,1,0)</f>
        <v>1</v>
      </c>
      <c r="AW16" s="111" t="str">
        <f>IF(AO16="","",AW14+AO16)</f>
        <v/>
      </c>
      <c r="AX16" s="112" t="str">
        <f>IF(AND(AX12="",AW16&lt;&gt;""),BA16*SQRT(AW14^2+AW15^2)/SQRT(AW16^2+AW17^2),IF(BA16&lt;&gt;0,AX12,""))</f>
        <v/>
      </c>
      <c r="AY16" s="140">
        <f>IF(L16="",10^30,SQRT(BA14)*(BA16^2)*(N(AN14)+N(AN16)+N(AO14)+N(AV14))/(100000*L16*M14))</f>
        <v>1E+30</v>
      </c>
      <c r="AZ16" s="141"/>
      <c r="BA16" s="114">
        <f>IF(AND(J14="",SUM(S14:S17)&lt;&gt;0),BA12,J14)</f>
        <v>0</v>
      </c>
      <c r="BB16" s="115">
        <f>IF(AND(BA14=3,S16&lt;&gt;""),1,0)</f>
        <v>0</v>
      </c>
      <c r="BC16" s="52"/>
      <c r="BD16" s="52"/>
    </row>
    <row r="17" spans="2:63" ht="15" hidden="1" customHeight="1" x14ac:dyDescent="0.15">
      <c r="D17" s="381"/>
      <c r="E17" s="384"/>
      <c r="F17" s="371"/>
      <c r="G17" s="371"/>
      <c r="H17" s="371"/>
      <c r="I17" s="371"/>
      <c r="J17" s="371"/>
      <c r="K17" s="372"/>
      <c r="L17" s="361" t="str">
        <f>IF(M14="","",L16*1000*M14/(SQRT(BA14)*BA16))</f>
        <v/>
      </c>
      <c r="M17" s="362"/>
      <c r="N17" s="405"/>
      <c r="O17" s="142"/>
      <c r="P17" s="143"/>
      <c r="Q17" s="144"/>
      <c r="R17" s="145"/>
      <c r="S17" s="146" t="str">
        <f>IF(R17="","",IF(Q17="",P17/R17,P17/(Q17*R17)))</f>
        <v/>
      </c>
      <c r="T17" s="147"/>
      <c r="U17" s="148" t="str">
        <f>IF(OR(BA16="",S17=""),"",S17*1000*T17/(SQRT(BA14)*BA16))</f>
        <v/>
      </c>
      <c r="V17" s="149" t="str">
        <f>IF(AND(N(U14)=0,N(U15)=0,N(U16)=0,N(U17)=0),"",IF(V14&gt;=0,SQRT(ABS(V14^2-V16^2)),-SQRT(V14^2-V16^2)))</f>
        <v/>
      </c>
      <c r="W17" s="378"/>
      <c r="X17" s="243" t="str">
        <f>IF(Y16="","",AQ14*Z16*AR14*((1+0.00393*(F17-20))/1.2751)/Y16)</f>
        <v/>
      </c>
      <c r="Y17" s="244"/>
      <c r="Z17" s="363" t="str">
        <f>IF(Y16="","",(BA17/50)*AQ14*Z16*AR15/Y16)</f>
        <v/>
      </c>
      <c r="AA17" s="364"/>
      <c r="AB17" s="365" t="str">
        <f>IF(AC16="","",AQ14*AD16*AR16*((1+0.00393*(F17-20))/1.2751)/AC16)</f>
        <v/>
      </c>
      <c r="AC17" s="244"/>
      <c r="AD17" s="363" t="str">
        <f>IF(AC16="","",(BA17/50)*AQ14*AD16*AR17/AC16)</f>
        <v/>
      </c>
      <c r="AE17" s="366"/>
      <c r="AF17" s="150" t="str">
        <f>IF(AND(AX14&lt;&gt;"",D14=""),AX14,"")</f>
        <v/>
      </c>
      <c r="AG17" s="243" t="str">
        <f>IF(AP16="","",AP16)</f>
        <v/>
      </c>
      <c r="AH17" s="244"/>
      <c r="AI17" s="151" t="str">
        <f>IF(AP17="","",AP17)</f>
        <v/>
      </c>
      <c r="AJ17" s="266"/>
      <c r="AK17" s="259"/>
      <c r="AL17" s="152"/>
      <c r="AM17" s="59"/>
      <c r="AN17" s="153" t="b">
        <f>IF(BA14="","",IF(AND(BA14=3,F16=50,L14="油入自冷"),VLOOKUP(L16,変３,3,FALSE),IF(AND(BA14=3,F16=50,L14="モ－ルド絶縁"),VLOOKUP(L16,変３,8,FALSE),IF(AND(BA14=3,F16=60,L14="油入自冷"),VLOOKUP(L16,変３,13,FALSE),IF(AND(BA14=3,F16=60,L14="モ－ルド絶縁"),VLOOKUP(L16,変３,18,FALSE),FALSE)))))</f>
        <v>0</v>
      </c>
      <c r="AO17" s="153" t="str">
        <f>IF(AND(L10="",N(AY15)&lt;10^29),AY15,"")</f>
        <v/>
      </c>
      <c r="AP17" s="154" t="str">
        <f>IF(V14="","",IF(AND(N(V17)=0,N(AP15)=0),0,(AQ17-AP15*(AQ16^2+AQ17^2))/((AQ16*AP15)^2+(AP15*AQ17-1)^2)))</f>
        <v/>
      </c>
      <c r="AQ17" s="155">
        <f>IF(N(V17)=0,10^30,V17)</f>
        <v>1E+30</v>
      </c>
      <c r="AR17" s="153" t="str">
        <f>IF(AB14="","",IF(AB14="600V IV",VLOOKUP(AB16,ＩＶ,3,FALSE),IF(AB14="600V CV-T",VLOOKUP(AB16,ＣＶＴ,3,FALSE),IF(OR(AB14="600V CV-1C",AB14="600V CV-2C",AB14="600V CV-3C",AB14="600V CV-4C"),VLOOKUP(AB16,ＣＶ２３Ｃ,3,FALSE),VLOOKUP(AB16,ＣＵＳＥＲ,3,FALSE)))))</f>
        <v/>
      </c>
      <c r="AS17" s="155" t="e">
        <f>IF(OR(AND(AS18="",AS19=""),AND(D14="",D18&lt;&gt;"")),AS15,(AS15*(AT18^2+AT19^2)+AT19*(AS14^2+AS15^2))/((AS14+AT18)^2+(AS15+AT19)^2))</f>
        <v>#VALUE!</v>
      </c>
      <c r="AT17" s="156" t="e">
        <f>IF(Z17="",AS17,N(AS17)+(Z17/1000))</f>
        <v>#VALUE!</v>
      </c>
      <c r="AU17" s="156" t="str">
        <f>IF(AU15="","",(AT17*(AU14^2+AU15^2)+AU15*(AT16^2+AT17^2))/((AT16+AU14)^2+(AT17+AU15)^2))</f>
        <v/>
      </c>
      <c r="AV17" s="156">
        <f>AV13+AV16</f>
        <v>1</v>
      </c>
      <c r="AW17" s="155" t="str">
        <f>IF(AO17="","",AW15+AO17)</f>
        <v/>
      </c>
      <c r="AX17" s="157"/>
      <c r="AY17" s="140">
        <f>IF(L16="",10^30,SQRT(BA14)*(BA16^2)*(N(AN15)+N(AN17)+N(AO15)+N(AV15))/(100000*L16*M14))</f>
        <v>1E+30</v>
      </c>
      <c r="AZ17" s="141"/>
      <c r="BA17" s="114">
        <f>IF(AND(F16="",SUM(S14:S17)&lt;&gt;0),BA13,F16)</f>
        <v>0</v>
      </c>
      <c r="BB17" s="115">
        <f>IF(AND(BA14=3,S17&lt;&gt;""),1,0)</f>
        <v>0</v>
      </c>
      <c r="BC17" s="52"/>
      <c r="BD17" s="52"/>
    </row>
    <row r="18" spans="2:63" ht="15" customHeight="1" x14ac:dyDescent="0.15">
      <c r="B18" s="158"/>
      <c r="C18" s="245" t="str">
        <f>IF(BH18=1,"●","・")</f>
        <v>●</v>
      </c>
      <c r="D18" s="425"/>
      <c r="E18" s="426" t="s">
        <v>205</v>
      </c>
      <c r="F18" s="427">
        <v>1</v>
      </c>
      <c r="G18" s="240" t="str">
        <f>IF(F18="","","φ")</f>
        <v>φ</v>
      </c>
      <c r="H18" s="428">
        <v>3</v>
      </c>
      <c r="I18" s="240" t="str">
        <f>IF(H18="","","W")</f>
        <v>W</v>
      </c>
      <c r="J18" s="428">
        <v>220</v>
      </c>
      <c r="K18" s="246" t="str">
        <f>IF(J18="","","V")</f>
        <v>V</v>
      </c>
      <c r="L18" s="429" t="s">
        <v>206</v>
      </c>
      <c r="M18" s="430">
        <v>1</v>
      </c>
      <c r="N18" s="431">
        <v>20</v>
      </c>
      <c r="O18" s="164" t="s">
        <v>216</v>
      </c>
      <c r="P18" s="194"/>
      <c r="Q18" s="165"/>
      <c r="R18" s="166"/>
      <c r="S18" s="167" t="str">
        <f>IF(R18="","",IF(Q18="",P18/R18,P18/(Q18*R18)))</f>
        <v/>
      </c>
      <c r="T18" s="168"/>
      <c r="U18" s="169" t="str">
        <f>IF(OR(BA20="",S18=""),"",S18*1000*T18/(SQRT(BA18)*BA20))</f>
        <v/>
      </c>
      <c r="V18" s="236">
        <f>IF(AND(N(U18)=0,N(U19)=0,N(U20)=0,N(U21)=0),"",BA20/(SUM(U18:U21)))</f>
        <v>1.3549055178683826</v>
      </c>
      <c r="W18" s="220"/>
      <c r="X18" s="222" t="s">
        <v>208</v>
      </c>
      <c r="Y18" s="223"/>
      <c r="Z18" s="224"/>
      <c r="AA18" s="228"/>
      <c r="AB18" s="230"/>
      <c r="AC18" s="223"/>
      <c r="AD18" s="224"/>
      <c r="AE18" s="232"/>
      <c r="AF18" s="104">
        <f>IF(OR(AND(AF14="",N(BA16)=0,BA20&lt;&gt;0),D18&lt;&gt;""),AX20/AQ19,"")</f>
        <v>108.50587842933065</v>
      </c>
      <c r="AG18" s="234">
        <f>IF(BA20=0,"",IF(AD20="",AX18,IF(AND(D18&lt;&gt;"",AU18=""),AX20*SQRT(AP20^2+AP21^2)/SQRT(AS18^2+AS19^2)/AQ19,AX18*SQRT(AP20^2+AP21^2)/SQRT(AS18^2+AS19^2))))</f>
        <v>103.17348178714778</v>
      </c>
      <c r="AH18" s="235"/>
      <c r="AI18" s="105">
        <f>IF(AG18="","",IF(N(U18)&lt;0,-AX18*AQ19/SQRT(AS18^2+AS19^2),AX18*AQ19/SQRT(AS18^2+AS19^2)))</f>
        <v>152.29620136091319</v>
      </c>
      <c r="AJ18" s="201" t="s">
        <v>209</v>
      </c>
      <c r="AK18" s="202"/>
      <c r="AL18" s="106"/>
      <c r="AM18" s="59"/>
      <c r="AN18" s="107">
        <f>IF(BA18="","",IF(AND(BA18=1,F20=50,L18="油入自冷"),VLOOKUP(L20,変１,2,FALSE),IF(AND(BA18=1,F20=50,L18="モ－ルド絶縁"),VLOOKUP(L20,変１,7,FALSE),IF(AND(BA18=1,F20=60,L18="油入自冷"),VLOOKUP(L20,変１,12,FALSE),IF(AND(BA18=1,F20=60,L18="モ－ルド絶縁"),VLOOKUP(L20,変１,17,FALSE),FALSE)))))</f>
        <v>1.42</v>
      </c>
      <c r="AO18" s="107">
        <f>IF(ISNA(VLOOKUP(L20,変ＵＳＥＲ,2,FALSE)),0,VLOOKUP(L20,変ＵＳＥＲ,2,FALSE))</f>
        <v>0</v>
      </c>
      <c r="AP18" s="108">
        <f>IF(N18="",0,N18*1000/BA20^2/SQRT(BA18))</f>
        <v>0.41322314049586778</v>
      </c>
      <c r="AQ18" s="107">
        <f>IF(BA18=1,2,IF(BA18=3,SQRT(3),FALSE))</f>
        <v>2</v>
      </c>
      <c r="AR18" s="109">
        <f>IF(X18="","",IF(X18="600V IV",VLOOKUP(X20,ＩＶ,2,FALSE),IF(X18="600V CV-T",VLOOKUP(X20,ＣＶＴ,2,FALSE),IF(OR(X18="600V CV-1C",X18="600V CV-2C",X18="600V CV-3C",X18="600V CV-4C"),VLOOKUP(X20,ＣＶ２３Ｃ,2,FALSE),VLOOKUP(X20,ＣＵＳＥＲ,2,FALSE)))))</f>
        <v>0.24</v>
      </c>
      <c r="AS18" s="107">
        <f>IF(AB21="",AP20,AP20+(AB21/1000))</f>
        <v>1.084696710439891</v>
      </c>
      <c r="AT18" s="110">
        <f>IF(AU20="",AT20,AU20)</f>
        <v>0.553722213141149</v>
      </c>
      <c r="AU18" s="110" t="str">
        <f>IF(D18="","",IF(AND(D22="",D26&lt;&gt;"",AV21=AV29),AT26,IF(AND(D22="",D26="",D30&lt;&gt;"",AV25=AV33),AT30,IF(AND(D22="",D26="",D30="",D34&lt;&gt;"",AV29=AV37),AT34,IF(AND(D22="",D26="",D30="",D34="",D38&lt;&gt;"",AV33=AV41),AT38,IF(AND(D22="",D26="",D30="",D34="",D38="",D42&lt;&gt;"",AV37=AV45),AT42,IF(AND(D22="",D26="",D30="",D34="",D38="",D42="",D46&lt;&gt;"",AV41=AV49),AT46,"")))))))</f>
        <v/>
      </c>
      <c r="AV18" s="110" t="str">
        <f>IF(L18="発電機",IF(ISNA(VLOOKUP(L20,ＡＣＧ,2,FALSE)),0,VLOOKUP(L20,ＡＣＧ,2,FALSE)),"")</f>
        <v/>
      </c>
      <c r="AW18" s="111">
        <f>IF(AT18="","",AT18/((AT18*AP18)^2+(AT19*AP18-1)^2))</f>
        <v>0.72830268463780778</v>
      </c>
      <c r="AX18" s="112">
        <f>IF(BA20=0,"",IF(OR(AX14="",AF18&lt;&gt;""),AF18*SQRT(AS20^2+AS21^2)/SQRT(AT20^2+AT21^2),AX14*SQRT(AS20^2+AS21^2)/SQRT(AT20^2+AT21^2)))</f>
        <v>103.17348178714778</v>
      </c>
      <c r="AY18" s="113">
        <f>IF(N(AY20)=10^30,10^30,IF(N(AY24)=10^30,(N(AY20)*(N(AY24)^2+N(AY25)^2)+N(AY24)*(N(AY20)^2+N(AY21)^2))/((N(AY20)+N(AY24))^2+(N(AY21)+N(AY25))^2),(N(AY20)*(N(AY22)^2+N(AY23)^2)+N(AY22)*(N(AY20)^2+N(AY21)^2))/((N(AY20)+N(AY22))^2+(N(AY21)+N(AY23))^2)))</f>
        <v>6.8728000000000001E-3</v>
      </c>
      <c r="AZ18" s="52"/>
      <c r="BA18" s="114">
        <f>IF(AND(F18="",SUM(S18:S21)&lt;&gt;0),BA14,F18)</f>
        <v>1</v>
      </c>
      <c r="BB18" s="115">
        <f>IF(AND(BA18=3,S18&lt;&gt;""),1,0)</f>
        <v>0</v>
      </c>
      <c r="BC18" s="52"/>
      <c r="BD18" s="27" t="s">
        <v>100</v>
      </c>
      <c r="BE18" s="1"/>
      <c r="BF18" s="27" t="s">
        <v>123</v>
      </c>
      <c r="BH18" s="162">
        <f>IF(OR(E18="",F21="",AND(OR(P18="",Q18="",R18="",T18=""),OR(P19="",Q19="",R19="",T19=""),OR(P20="",Q20="",R20="",T20=""),OR(P21="",Q21="",R21="",T21="")),AND(OR(X18="",X20="",Y20="",Z20=""),OR(AB18="",AB20="",AC20="",AD20=""))),0,1)</f>
        <v>1</v>
      </c>
      <c r="BI18" s="162">
        <f>BH18</f>
        <v>1</v>
      </c>
      <c r="BJ18" s="4"/>
      <c r="BK18" s="4"/>
    </row>
    <row r="19" spans="2:63" ht="15" customHeight="1" x14ac:dyDescent="0.15">
      <c r="B19" s="158" t="s">
        <v>56</v>
      </c>
      <c r="C19" s="245"/>
      <c r="D19" s="432"/>
      <c r="E19" s="433"/>
      <c r="F19" s="434"/>
      <c r="G19" s="241"/>
      <c r="H19" s="435"/>
      <c r="I19" s="241"/>
      <c r="J19" s="435"/>
      <c r="K19" s="247"/>
      <c r="L19" s="436"/>
      <c r="M19" s="170">
        <f>IF(L18="発電機",SQRT(AV18^2+AV19^2),IF(L20="","",IF(OR(L18="油入自冷",L18="モ－ルド絶縁"),IF(BA18=1,SQRT(AN18^2+AN19^2),IF(BA18=3,SQRT(AN20^2+AN21^2))),SQRT(AO18^2+AO19^2))))</f>
        <v>2.9099828178186895</v>
      </c>
      <c r="N19" s="437"/>
      <c r="O19" s="171" t="s">
        <v>207</v>
      </c>
      <c r="P19" s="195">
        <v>28.597999999999999</v>
      </c>
      <c r="Q19" s="172">
        <v>1</v>
      </c>
      <c r="R19" s="173">
        <v>0.80057</v>
      </c>
      <c r="S19" s="174">
        <f t="shared" ref="S19:S37" si="0">IF(R19="","",IF(Q19="",P19/R19,P19/(Q19*R19)))</f>
        <v>35.72204804077095</v>
      </c>
      <c r="T19" s="175">
        <v>1</v>
      </c>
      <c r="U19" s="176">
        <f>IF(OR(BA20="",S19=""),"",S19*1000*T19/(SQRT(BA18)*BA20))</f>
        <v>162.37294563986794</v>
      </c>
      <c r="V19" s="237"/>
      <c r="W19" s="221"/>
      <c r="X19" s="225"/>
      <c r="Y19" s="226"/>
      <c r="Z19" s="227"/>
      <c r="AA19" s="229"/>
      <c r="AB19" s="231"/>
      <c r="AC19" s="226"/>
      <c r="AD19" s="227"/>
      <c r="AE19" s="233"/>
      <c r="AF19" s="124">
        <f>IF(OR(AF18="",AG14&lt;&gt;""),"",AF18*AQ19/SQRT(AT18^2+AT19^2))</f>
        <v>322.09548538853551</v>
      </c>
      <c r="AG19" s="205">
        <f>IF(AG18="","",100*AG18*AQ19/BA20)</f>
        <v>93.794074351952517</v>
      </c>
      <c r="AH19" s="206"/>
      <c r="AI19" s="207">
        <f>IF(BA20=0,"",IF(AI14="",AX20/SQRT(AT18^2+AT19^2),IF(AI22="","",IF(AT18&lt;0,-AX18*AQ15/SQRT(AT18^2+AT19^2),AX18*AQ15/SQRT(AT18^2+AT19^2)))))</f>
        <v>322.09548538853551</v>
      </c>
      <c r="AJ19" s="203"/>
      <c r="AK19" s="204"/>
      <c r="AL19" s="198" t="str">
        <f>"変 圧 器　負 荷 率  ： "&amp;(INT(10000*(N(AF20)-N(L25)-N(L29))/L21))/100&amp;" ％"</f>
        <v>変 圧 器　負 荷 率  ： 61.78 ％</v>
      </c>
      <c r="AM19" s="59"/>
      <c r="AN19" s="107">
        <f>IF(BA18="","",IF(AND(BA18=1,F20=50,L18="油入自冷"),VLOOKUP(L20,変１,3,FALSE),IF(AND(BA18=1,F20=50,L18="モ－ルド絶縁"),VLOOKUP(L20,変１,8,FALSE),IF(AND(BA18=1,F20=60,L18="油入自冷"),VLOOKUP(L20,変１,13,FALSE),IF(AND(BA18=1,F20=60,L18="モ－ルド絶縁"),VLOOKUP(L20,変１,18,FALSE),FALSE)))))</f>
        <v>2.54</v>
      </c>
      <c r="AO19" s="107">
        <f>IF(ISNA(VLOOKUP(L20,変ＵＳＥＲ,3,FALSE)),0,VLOOKUP(L20,変ＵＳＥＲ,3,FALSE)*BA21/50)</f>
        <v>0</v>
      </c>
      <c r="AP19" s="108">
        <f>IF(W18="",0,W18*1000/BA20^2/SQRT(BA18))</f>
        <v>0</v>
      </c>
      <c r="AQ19" s="107">
        <f>IF(AND(BA18=1,BA19=2),1,IF(AND(BA18=3,BA19=3),1,IF(AND(BA18=1,BA19=3),2,IF(AND(BA18=3,BA19=4)*OR(BB18=1,BB19=1,BB20=1,BB21=1),1,SQRT(3)))))</f>
        <v>2</v>
      </c>
      <c r="AR19" s="109">
        <f>IF(X18="","",IF(X18="600V IV",VLOOKUP(X20,ＩＶ,3,FALSE),IF(X18="600V CV-T",VLOOKUP(X20,ＣＶＴ,3,FALSE),IF(OR(X18="600V CV-1C",X18="600V CV-2C",X18="600V CV-3C",X18="600V CV-4C"),VLOOKUP(X20,ＣＶ２３Ｃ,3,FALSE),VLOOKUP(X20,ＣＵＳＥＲ,3,FALSE)))))</f>
        <v>8.8300000000000003E-2</v>
      </c>
      <c r="AS19" s="107">
        <f>IF(AD21="",AP21,AP21+(AD21/1000))</f>
        <v>0.81191256223257779</v>
      </c>
      <c r="AT19" s="110">
        <f>IF(AU21="",AT21,AU21)</f>
        <v>0.38383649313222212</v>
      </c>
      <c r="AU19" s="110" t="str">
        <f>IF(D18="","",IF(AND(D22="",D26&lt;&gt;"",AV21=AV29),AT27,IF(AND(D22="",D26="",D30&lt;&gt;"",AV25=AV33),AT31,IF(AND(D22="",D26="",D30="",D34&lt;&gt;"",AV29=AV37),AT35,IF(AND(D22="",D26="",D30="",D34="",D38&lt;&gt;"",AV33=AV41),AT39,IF(AND(D22="",D26="",D30="",D34="",D38="",D42&lt;&gt;"",AV37=AV45),AT43,IF(AND(D22="",D26="",D30="",D34="",D38="",D42="",D46&lt;&gt;"",AV41=AV49),AT47,"")))))))</f>
        <v/>
      </c>
      <c r="AV19" s="109" t="str">
        <f>IF(L18="発電機",IF(ISNA(VLOOKUP(L20,ＡＣＧ,3,FALSE)),0,VLOOKUP(L20,ＡＣＧ,3,FALSE)*BA21/50),"")</f>
        <v/>
      </c>
      <c r="AW19" s="111">
        <f>IF(AT19="","",(AT19-AP18*(AT18^2+AT19^2))/((AT18*AP18)^2+(AP18*AT19-1)^2))</f>
        <v>0.25813591945483266</v>
      </c>
      <c r="AX19" s="112"/>
      <c r="AY19" s="113">
        <f>IF(N(AY21)=10^30,10^30,IF(N(AY25)=10^30,(N(AY21)*(N(AY24)^2+N(AY25)^2)+N(AY25)*(N(AY20)^2+N(AY21)^2))/((N(AY20)+N(AY24))^2+(N(AY21)+N(AY25))^2),(N(AY21)*(N(AY22)^2+N(AY23)^2)+N(AY23)*(N(AY20)^2+N(AY21)^2))/((N(AY20)+N(AY22))^2+(N(AY21)+N(AY23))^2)))</f>
        <v>1.22936E-2</v>
      </c>
      <c r="AZ19" s="52"/>
      <c r="BA19" s="114">
        <f>IF(AND(H18="",SUM(S18:S21)&lt;&gt;0),BA15,H18)</f>
        <v>3</v>
      </c>
      <c r="BB19" s="115">
        <f>IF(AND(BA18=3,S19&lt;&gt;""),1,0)</f>
        <v>0</v>
      </c>
      <c r="BC19" s="52"/>
      <c r="BD19" s="28" t="s">
        <v>101</v>
      </c>
      <c r="BE19" s="1"/>
      <c r="BF19" s="28" t="s">
        <v>124</v>
      </c>
      <c r="BH19" s="162"/>
      <c r="BI19" s="162"/>
      <c r="BJ19" s="4"/>
      <c r="BK19" s="4"/>
    </row>
    <row r="20" spans="2:63" ht="15" customHeight="1" x14ac:dyDescent="0.15">
      <c r="B20" s="158" t="s">
        <v>57</v>
      </c>
      <c r="C20" s="245"/>
      <c r="D20" s="432"/>
      <c r="E20" s="433"/>
      <c r="F20" s="438">
        <v>60</v>
      </c>
      <c r="G20" s="438"/>
      <c r="H20" s="438"/>
      <c r="I20" s="438"/>
      <c r="J20" s="438"/>
      <c r="K20" s="439"/>
      <c r="L20" s="440">
        <v>100</v>
      </c>
      <c r="M20" s="441"/>
      <c r="N20" s="437"/>
      <c r="O20" s="171"/>
      <c r="P20" s="196"/>
      <c r="Q20" s="177"/>
      <c r="R20" s="173"/>
      <c r="S20" s="174" t="str">
        <f t="shared" si="0"/>
        <v/>
      </c>
      <c r="T20" s="175"/>
      <c r="U20" s="178" t="str">
        <f>IF(OR(BA20="",S20=""),"",S20*1000*T20/(SQRT(BA18)*BA20))</f>
        <v/>
      </c>
      <c r="V20" s="179">
        <f>IF(AND(N(U18)=0,N(U19)=0,N(U20)=0,N(U21)=0),"",V18*(P18*R18*T18+P19*R19*T19+P20*R20*T20+P21*R21*T21)/(P18*T18+P19*T19+P20*T20+P21*T21))</f>
        <v>1.084696710439891</v>
      </c>
      <c r="W20" s="209">
        <f>IF(AND(N(AP20)=0,N(AP21)=0,N(AP19)=0),"",IF(AP21&gt;=0,COS(ATAN(AP21/AP20)),-COS(ATAN(AP21/AP20))))</f>
        <v>0.80056999999999989</v>
      </c>
      <c r="X20" s="180">
        <v>100</v>
      </c>
      <c r="Y20" s="181">
        <v>1</v>
      </c>
      <c r="Z20" s="182">
        <v>71</v>
      </c>
      <c r="AA20" s="183"/>
      <c r="AB20" s="184"/>
      <c r="AC20" s="181"/>
      <c r="AD20" s="182"/>
      <c r="AE20" s="185"/>
      <c r="AF20" s="136">
        <f>IF(OR(AF18="",AG14&lt;&gt;""),"",BA20/SQRT(AW20^2+AW21^2))</f>
        <v>280.85014680673197</v>
      </c>
      <c r="AG20" s="205">
        <f>IF(AG18="","",100*((BA20/AQ19)-AG18)/(BA20/AQ19))</f>
        <v>6.205925648047474</v>
      </c>
      <c r="AH20" s="206"/>
      <c r="AI20" s="208"/>
      <c r="AJ20" s="211" t="s">
        <v>210</v>
      </c>
      <c r="AK20" s="213" t="s">
        <v>211</v>
      </c>
      <c r="AL20" s="199" t="str">
        <f>"変圧器電圧変動率："&amp;(INT(1000000*(1-(2*AF18/J18))))/10000&amp;" ％"</f>
        <v>変圧器電圧変動率：1.3582 ％</v>
      </c>
      <c r="AM20" s="59"/>
      <c r="AN20" s="138" t="b">
        <f>IF(BA18="","",IF(AND(BA18=3,F20=50,L18="油入自冷"),VLOOKUP(L20,変３,2,FALSE),IF(AND(BA18=3,F20=50,L18="モ－ルド絶縁"),VLOOKUP(L20,変３,7,FALSE),IF(AND(BA18=3,F20=60,L18="油入自冷"),VLOOKUP(L20,変３,12,FALSE),IF(AND(BA18=3,F20=60,L18="モ－ルド絶縁"),VLOOKUP(L20,変３,17,FALSE),FALSE)))))</f>
        <v>0</v>
      </c>
      <c r="AO20" s="109">
        <f>IF(AND(L14="",N(AY18)&lt;10^29),AY18,"")</f>
        <v>6.8728000000000001E-3</v>
      </c>
      <c r="AP20" s="139">
        <f>IF(V18="","",IF(AND(N(V20)=0,N(AP19)=0),"",AQ20/((AQ20*AP19)^2+(AP19*AQ21-1)^2)))</f>
        <v>1.084696710439891</v>
      </c>
      <c r="AQ20" s="107">
        <f>IF(N(V20)=0,10^30,V20)</f>
        <v>1.084696710439891</v>
      </c>
      <c r="AR20" s="109" t="str">
        <f>IF(AB18="","",IF(AB18="600V IV",VLOOKUP(AB20,ＩＶ,2,FALSE),IF(AB18="600V CV-T",VLOOKUP(AB20,ＣＶＴ,2,FALSE),IF(OR(AB18="600V CV-1C",AB18="600V CV-2C",AB18="600V CV-3C",AB18="600V CV-4C"),VLOOKUP(AB20,ＣＶ２３Ｃ,2,FALSE),VLOOKUP(AB20,ＣＵＳＥＲ,2,FALSE)))))</f>
        <v/>
      </c>
      <c r="AS20" s="107">
        <f>IF(OR(AND(AS22="",AS23=""),AND(D18="",D22&lt;&gt;"")),AS18,(AS18*(AT22^2+AT23^2)+AT22*(AS18^2+AS19^2))/((AS18+AT22)^2+(AS19+AT23)^2))</f>
        <v>0.52384374713848258</v>
      </c>
      <c r="AT20" s="110">
        <f>IF(X21="",AS20,N(AS20)+(X21/1000))</f>
        <v>0.553722213141149</v>
      </c>
      <c r="AU20" s="110" t="str">
        <f>IF(AU18="","",(AT20*(AU18^2+AU19^2)+AU18*(AT20^2+AT21^2))/((AT20+AU18)^2+(AT21+AU19)^2))</f>
        <v/>
      </c>
      <c r="AV20" s="110">
        <f>IF(BA20=0,1,0)</f>
        <v>0</v>
      </c>
      <c r="AW20" s="111">
        <f>IF(AO20="","",AW18+AO20)</f>
        <v>0.7351754846378078</v>
      </c>
      <c r="AX20" s="112">
        <f>IF(AND(AX16="",AW20&lt;&gt;""),BA20*SQRT(AW18^2+AW19^2)/SQRT(AW20^2+AW21^2),IF(BA20&lt;&gt;0,AX16,""))</f>
        <v>217.0117568586613</v>
      </c>
      <c r="AY20" s="140">
        <f>IF(L20="",10^30,SQRT(BA18)*(BA20^2)*(N(AN18)+N(AN20)+N(AO18)+N(AV18))/(100000*L20*M18))</f>
        <v>6.8728000000000001E-3</v>
      </c>
      <c r="AZ20" s="141"/>
      <c r="BA20" s="114">
        <f>IF(AND(J18="",SUM(S18:S21)&lt;&gt;0),BA16,J18)</f>
        <v>220</v>
      </c>
      <c r="BB20" s="115">
        <f>IF(AND(BA18=3,S20&lt;&gt;""),1,0)</f>
        <v>0</v>
      </c>
      <c r="BC20" s="52"/>
      <c r="BD20" s="29"/>
      <c r="BE20" s="1"/>
      <c r="BF20" s="29"/>
      <c r="BH20" s="162"/>
      <c r="BI20" s="162"/>
      <c r="BJ20" s="4"/>
      <c r="BK20" s="4"/>
    </row>
    <row r="21" spans="2:63" ht="15" customHeight="1" x14ac:dyDescent="0.15">
      <c r="B21" s="158" t="s">
        <v>58</v>
      </c>
      <c r="C21" s="245"/>
      <c r="D21" s="442"/>
      <c r="E21" s="443"/>
      <c r="F21" s="444">
        <v>50</v>
      </c>
      <c r="G21" s="444"/>
      <c r="H21" s="444"/>
      <c r="I21" s="444"/>
      <c r="J21" s="444"/>
      <c r="K21" s="445"/>
      <c r="L21" s="238">
        <f>IF(M18="","",L20*1000*M18/(SQRT(BA18)*BA20))</f>
        <v>454.54545454545456</v>
      </c>
      <c r="M21" s="239"/>
      <c r="N21" s="446"/>
      <c r="O21" s="186"/>
      <c r="P21" s="197"/>
      <c r="Q21" s="187"/>
      <c r="R21" s="188"/>
      <c r="S21" s="189" t="str">
        <f t="shared" si="0"/>
        <v/>
      </c>
      <c r="T21" s="190"/>
      <c r="U21" s="191" t="str">
        <f>IF(OR(BA20="",S21=""),"",S21*1000*T21/(SQRT(BA18)*BA20))</f>
        <v/>
      </c>
      <c r="V21" s="192">
        <f>IF(AND(N(U18)=0,N(U19)=0,N(U20)=0,N(U21)=0),"",IF(V18&gt;=0,SQRT(ABS(V18^2-V20^2)),-SQRT(V18^2-V20^2)))</f>
        <v>0.81191256223257779</v>
      </c>
      <c r="W21" s="210"/>
      <c r="X21" s="215">
        <f>IF(Y20="","",AQ18*Z20*AR18*((1+0.00393*(F21-20))/1.2751)/Y20)</f>
        <v>29.87846600266646</v>
      </c>
      <c r="Y21" s="216"/>
      <c r="Z21" s="217">
        <f>IF(Y20="","",(BA21/50)*AQ18*Z20*AR19/Y20)</f>
        <v>15.046320000000001</v>
      </c>
      <c r="AA21" s="218"/>
      <c r="AB21" s="219" t="str">
        <f>IF(AC20="","",AQ18*AD20*AR20*((1+0.00393*(F21-20))/1.2751)/AC20)</f>
        <v/>
      </c>
      <c r="AC21" s="216"/>
      <c r="AD21" s="217" t="str">
        <f>IF(AC20="","",(BA21/50)*AQ18*AD20*AR21/AC20)</f>
        <v/>
      </c>
      <c r="AE21" s="242"/>
      <c r="AF21" s="150">
        <f>IF(AND(AX18&lt;&gt;"",D18=""),AX18,"")</f>
        <v>103.17348178714778</v>
      </c>
      <c r="AG21" s="243">
        <f>IF(AP20="","",AP20)</f>
        <v>1.084696710439891</v>
      </c>
      <c r="AH21" s="244"/>
      <c r="AI21" s="151">
        <f>IF(AP21="","",AP21)</f>
        <v>0.81191256223257779</v>
      </c>
      <c r="AJ21" s="212"/>
      <c r="AK21" s="214"/>
      <c r="AL21" s="152"/>
      <c r="AM21" s="59"/>
      <c r="AN21" s="153" t="b">
        <f>IF(BA18="","",IF(AND(BA18=3,F20=50,L18="油入自冷"),VLOOKUP(L20,変３,3,FALSE),IF(AND(BA18=3,F20=50,L18="モ－ルド絶縁"),VLOOKUP(L20,変３,8,FALSE),IF(AND(BA18=3,F20=60,L18="油入自冷"),VLOOKUP(L20,変３,13,FALSE),IF(AND(BA18=3,F20=60,L18="モ－ルド絶縁"),VLOOKUP(L20,変３,18,FALSE),FALSE)))))</f>
        <v>0</v>
      </c>
      <c r="AO21" s="153">
        <f>IF(AND(L14="",N(AY19)&lt;10^29),AY19,"")</f>
        <v>1.22936E-2</v>
      </c>
      <c r="AP21" s="154">
        <f>IF(V18="","",IF(AND(N(V21)=0,N(AP19)=0),0,(AQ21-AP19*(AQ20^2+AQ21^2))/((AQ20*AP19)^2+(AP19*AQ21-1)^2)))</f>
        <v>0.81191256223257779</v>
      </c>
      <c r="AQ21" s="155">
        <f>IF(N(V21)=0,10^30,V21)</f>
        <v>0.81191256223257779</v>
      </c>
      <c r="AR21" s="153" t="str">
        <f>IF(AB18="","",IF(AB18="600V IV",VLOOKUP(AB20,ＩＶ,3,FALSE),IF(AB18="600V CV-T",VLOOKUP(AB20,ＣＶＴ,3,FALSE),IF(OR(AB18="600V CV-1C",AB18="600V CV-2C",AB18="600V CV-3C",AB18="600V CV-4C"),VLOOKUP(AB20,ＣＶ２３Ｃ,3,FALSE),VLOOKUP(AB20,ＣＵＳＥＲ,3,FALSE)))))</f>
        <v/>
      </c>
      <c r="AS21" s="155">
        <f>IF(OR(AND(AS22="",AS23=""),AND(D18="",D22&lt;&gt;"")),AS19,(AS19*(AT22^2+AT23^2)+AT23*(AS18^2+AS19^2))/((AS18+AT22)^2+(AS19+AT23)^2))</f>
        <v>0.36879017313222212</v>
      </c>
      <c r="AT21" s="156">
        <f>IF(Z21="",AS21,N(AS21)+(Z21/1000))</f>
        <v>0.38383649313222212</v>
      </c>
      <c r="AU21" s="156" t="str">
        <f>IF(AU19="","",(AT21*(AU18^2+AU19^2)+AU19*(AT20^2+AT21^2))/((AT20+AU18)^2+(AT21+AU19)^2))</f>
        <v/>
      </c>
      <c r="AV21" s="156">
        <f>AV17+AV20</f>
        <v>1</v>
      </c>
      <c r="AW21" s="155">
        <f>IF(AO21="","",AW19+AO21)</f>
        <v>0.27042951945483268</v>
      </c>
      <c r="AX21" s="157"/>
      <c r="AY21" s="140">
        <f>IF(L20="",10^30,SQRT(BA18)*(BA20^2)*(N(AN19)+N(AN21)+N(AO19)+N(AV19))/(100000*L20*M18))</f>
        <v>1.22936E-2</v>
      </c>
      <c r="AZ21" s="141"/>
      <c r="BA21" s="114">
        <f>IF(AND(F20="",SUM(S18:S21)&lt;&gt;0),BA17,F20)</f>
        <v>60</v>
      </c>
      <c r="BB21" s="115">
        <f>IF(AND(BA18=3,S21&lt;&gt;""),1,0)</f>
        <v>0</v>
      </c>
      <c r="BC21" s="52"/>
      <c r="BD21" s="29" t="s">
        <v>102</v>
      </c>
      <c r="BE21" s="1"/>
      <c r="BF21" s="29" t="s">
        <v>125</v>
      </c>
      <c r="BH21" s="162"/>
      <c r="BI21" s="162"/>
      <c r="BJ21" s="4"/>
      <c r="BK21" s="4"/>
    </row>
    <row r="22" spans="2:63" ht="15" customHeight="1" x14ac:dyDescent="0.15">
      <c r="B22" s="158" t="s">
        <v>59</v>
      </c>
      <c r="C22" s="245" t="str">
        <f>IF(BH22=1,"●","・")</f>
        <v>●</v>
      </c>
      <c r="D22" s="425"/>
      <c r="E22" s="426" t="s">
        <v>212</v>
      </c>
      <c r="F22" s="427"/>
      <c r="G22" s="240" t="str">
        <f>IF(F22="","","φ")</f>
        <v/>
      </c>
      <c r="H22" s="428"/>
      <c r="I22" s="240" t="str">
        <f>IF(H22="","","W")</f>
        <v/>
      </c>
      <c r="J22" s="428"/>
      <c r="K22" s="246" t="str">
        <f>IF(J22="","","V")</f>
        <v/>
      </c>
      <c r="L22" s="429"/>
      <c r="M22" s="430"/>
      <c r="N22" s="431"/>
      <c r="O22" s="164" t="s">
        <v>217</v>
      </c>
      <c r="P22" s="194"/>
      <c r="Q22" s="165"/>
      <c r="R22" s="166"/>
      <c r="S22" s="167" t="str">
        <f>IF(R22="","",IF(Q22="",P22/R22,P22/(Q22*R22)))</f>
        <v/>
      </c>
      <c r="T22" s="168"/>
      <c r="U22" s="169" t="str">
        <f>IF(OR(BA24="",S22=""),"",S22*1000*T22/(SQRT(BA22)*BA24))</f>
        <v/>
      </c>
      <c r="V22" s="236">
        <f>IF(AND(N(U22)=0,N(U23)=0,N(U24)=0,N(U25)=0),"",BA24/(SUM(U22:U25)))</f>
        <v>2.082963866632205</v>
      </c>
      <c r="W22" s="220"/>
      <c r="X22" s="222" t="s">
        <v>208</v>
      </c>
      <c r="Y22" s="223"/>
      <c r="Z22" s="224"/>
      <c r="AA22" s="228"/>
      <c r="AB22" s="230"/>
      <c r="AC22" s="223"/>
      <c r="AD22" s="224"/>
      <c r="AE22" s="232"/>
      <c r="AF22" s="104" t="str">
        <f>IF(OR(AND(AF18="",N(BA20)=0,BA24&lt;&gt;0),D22&lt;&gt;""),AX24/AQ23,"")</f>
        <v/>
      </c>
      <c r="AG22" s="234">
        <f>IF(BA24=0,"",IF(AD24="",AX22,IF(AND(D22&lt;&gt;"",AU22=""),AX24*SQRT(AP24^2+AP25^2)/SQRT(AS22^2+AS23^2)/AQ23,AX22*SQRT(AP24^2+AP25^2)/SQRT(AS22^2+AS23^2))))</f>
        <v>100.61957632425676</v>
      </c>
      <c r="AH22" s="235"/>
      <c r="AI22" s="105">
        <f>IF(AG22="","",IF(N(U22)&lt;0,-AX22*AQ23/SQRT(AS22^2+AS23^2),AX22*AQ23/SQRT(AS22^2+AS23^2)))</f>
        <v>96.611926818434284</v>
      </c>
      <c r="AJ22" s="201" t="s">
        <v>209</v>
      </c>
      <c r="AK22" s="202"/>
      <c r="AL22" s="106"/>
      <c r="AM22" s="59"/>
      <c r="AN22" s="107" t="b">
        <f>IF(BA22="","",IF(AND(BA22=1,F24=50,L22="油入自冷"),VLOOKUP(L24,変１,2,FALSE),IF(AND(BA22=1,F24=50,L22="モ－ルド絶縁"),VLOOKUP(L24,変１,7,FALSE),IF(AND(BA22=1,F24=60,L22="油入自冷"),VLOOKUP(L24,変１,12,FALSE),IF(AND(BA22=1,F24=60,L22="モ－ルド絶縁"),VLOOKUP(L24,変１,17,FALSE),FALSE)))))</f>
        <v>0</v>
      </c>
      <c r="AO22" s="107">
        <f>IF(ISNA(VLOOKUP(L24,変ＵＳＥＲ,2,FALSE)),0,VLOOKUP(L24,変ＵＳＥＲ,2,FALSE))</f>
        <v>0</v>
      </c>
      <c r="AP22" s="108">
        <f>IF(N22="",0,N22*1000/BA24^2/SQRT(BA22))</f>
        <v>0</v>
      </c>
      <c r="AQ22" s="107">
        <f>IF(BA22=1,2,IF(BA22=3,SQRT(3),FALSE))</f>
        <v>2</v>
      </c>
      <c r="AR22" s="109">
        <f>IF(X22="","",IF(X22="600V IV",VLOOKUP(X24,ＩＶ,2,FALSE),IF(X22="600V CV-T",VLOOKUP(X24,ＣＶＴ,2,FALSE),IF(OR(X22="600V CV-1C",X22="600V CV-2C",X22="600V CV-3C",X22="600V CV-4C"),VLOOKUP(X24,ＣＶ２３Ｃ,2,FALSE),VLOOKUP(X24,ＣＵＳＥＲ,2,FALSE)))))</f>
        <v>0.39700000000000002</v>
      </c>
      <c r="AS22" s="107">
        <f>IF(AB25="",AP24,AP24+(AB25/1000))</f>
        <v>1.7341507375259757</v>
      </c>
      <c r="AT22" s="110">
        <f>IF(AU24="",AT24,AU24)</f>
        <v>1.0108884126548896</v>
      </c>
      <c r="AU22" s="110" t="str">
        <f>IF(D22="","",IF(AND(D26="",D30&lt;&gt;"",AV25=AV33),AT30,IF(AND(D26="",D30="",D34&lt;&gt;"",AV29=AV37),AT34,IF(AND(D26="",D30="",D34="",D38&lt;&gt;"",AV33=AV41),AT38,IF(AND(D26="",D30="",D34="",D38="",D42&lt;&gt;"",AV37=AV45),AT42,IF(AND(D26="",D30="",D34="",D38="",D42="",D46&lt;&gt;"",AV41=AV49),AT46,IF(AND(D26="",D30="",D34="",D38="",D42="",D46="",D50&lt;&gt;"",AV45=AV53),AT50,"")))))))</f>
        <v/>
      </c>
      <c r="AV22" s="110" t="str">
        <f>IF(L22="発電機",IF(ISNA(VLOOKUP(L24,ＡＣＧ,2,FALSE)),0,VLOOKUP(L24,ＡＣＧ,2,FALSE)),"")</f>
        <v/>
      </c>
      <c r="AW22" s="111">
        <f>IF(AT22="","",AT22/((AT22*AP22)^2+(AT23*AP22-1)^2))</f>
        <v>1.0108884126548896</v>
      </c>
      <c r="AX22" s="112">
        <f>IF(BA24=0,"",IF(OR(AX18="",AF22&lt;&gt;""),AF22*SQRT(AS24^2+AS25^2)/SQRT(AT24^2+AT25^2),AX18*SQRT(AS24^2+AS25^2)/SQRT(AT24^2+AT25^2)))</f>
        <v>100.61957632425676</v>
      </c>
      <c r="AY22" s="113">
        <f>IF(N(AY24)=10^30,10^30,IF(N(AY28)=10^30,(N(AY24)*(N(AY28)^2+N(AY29)^2)+N(AY28)*(N(AY24)^2+N(AY25)^2))/((N(AY24)+N(AY28))^2+(N(AY25)+N(AY29))^2),(N(AY24)*(N(AY26)^2+N(AY27)^2)+N(AY26)*(N(AY24)^2+N(AY25)^2))/((N(AY24)+N(AY26))^2+(N(AY25)+N(AY27))^2)))</f>
        <v>1E+30</v>
      </c>
      <c r="AZ22" s="52"/>
      <c r="BA22" s="114">
        <f>IF(AND(F22="",SUM(S22:S25)&lt;&gt;0),BA18,F22)</f>
        <v>1</v>
      </c>
      <c r="BB22" s="115">
        <f>IF(AND(BA22=3,S22&lt;&gt;""),1,0)</f>
        <v>0</v>
      </c>
      <c r="BC22" s="52"/>
      <c r="BD22" s="29" t="s">
        <v>103</v>
      </c>
      <c r="BE22" s="1"/>
      <c r="BF22" s="29" t="s">
        <v>126</v>
      </c>
      <c r="BH22" s="162">
        <f>IF(OR(E22="",F25="",AND(OR(P22="",Q22="",R22="",T22=""),OR(P23="",Q23="",R23="",T23=""),OR(P24="",Q24="",R24="",T24=""),OR(P25="",Q25="",R25="",T25="")),AND(OR(X22="",X24="",Y24="",Z24=""),OR(AB22="",AB24="",AC24="",AD24=""))),0,1)</f>
        <v>1</v>
      </c>
      <c r="BI22" s="162">
        <f>BH22+BI18</f>
        <v>2</v>
      </c>
      <c r="BJ22" s="4"/>
      <c r="BK22" s="4"/>
    </row>
    <row r="23" spans="2:63" ht="15" customHeight="1" x14ac:dyDescent="0.15">
      <c r="B23" s="158" t="s">
        <v>60</v>
      </c>
      <c r="C23" s="245"/>
      <c r="D23" s="432"/>
      <c r="E23" s="433"/>
      <c r="F23" s="434"/>
      <c r="G23" s="241"/>
      <c r="H23" s="435"/>
      <c r="I23" s="241"/>
      <c r="J23" s="435"/>
      <c r="K23" s="247"/>
      <c r="L23" s="436"/>
      <c r="M23" s="170" t="str">
        <f>IF(L22="発電機",SQRT(AV22^2+AV23^2),IF(L24="","",IF(OR(L22="油入自冷",L22="モ－ルド絶縁"),IF(BA22=1,SQRT(AN22^2+AN23^2),IF(BA22=3,SQRT(AN24^2+AN25^2))),SQRT(AO22^2+AO23^2))))</f>
        <v/>
      </c>
      <c r="N23" s="437"/>
      <c r="O23" s="171" t="s">
        <v>207</v>
      </c>
      <c r="P23" s="195">
        <v>19.344999999999999</v>
      </c>
      <c r="Q23" s="172">
        <v>1</v>
      </c>
      <c r="R23" s="173">
        <v>0.83253999999999995</v>
      </c>
      <c r="S23" s="174">
        <f t="shared" si="0"/>
        <v>23.236120786989215</v>
      </c>
      <c r="T23" s="175">
        <v>1</v>
      </c>
      <c r="U23" s="176">
        <f>IF(OR(BA24="",S23=""),"",S23*1000*T23/(SQRT(BA22)*BA24))</f>
        <v>105.61873084995096</v>
      </c>
      <c r="V23" s="237"/>
      <c r="W23" s="221"/>
      <c r="X23" s="225"/>
      <c r="Y23" s="226"/>
      <c r="Z23" s="227"/>
      <c r="AA23" s="229"/>
      <c r="AB23" s="231"/>
      <c r="AC23" s="226"/>
      <c r="AD23" s="227"/>
      <c r="AE23" s="233"/>
      <c r="AF23" s="124" t="str">
        <f>IF(OR(AF22="",AG18&lt;&gt;""),"",AF22*AQ23/SQRT(AT22^2+AT23^2))</f>
        <v/>
      </c>
      <c r="AG23" s="205">
        <f>IF(AG22="","",100*AG22*AQ23/BA24)</f>
        <v>91.472342112960689</v>
      </c>
      <c r="AH23" s="206"/>
      <c r="AI23" s="207">
        <f>IF(BA24=0,"",IF(AI18="",AX24/SQRT(AT22^2+AT23^2),IF(AI26="","",IF(AT22&lt;0,-AX22*AQ19/SQRT(AT22^2+AT23^2),AX22*AQ19/SQRT(AT22^2+AT23^2)))))</f>
        <v>165.71572148778523</v>
      </c>
      <c r="AJ23" s="203"/>
      <c r="AK23" s="204"/>
      <c r="AL23" s="125"/>
      <c r="AM23" s="59"/>
      <c r="AN23" s="107" t="b">
        <f>IF(BA22="","",IF(AND(BA22=1,F24=50,L22="油入自冷"),VLOOKUP(L24,変１,3,FALSE),IF(AND(BA22=1,F24=50,L22="モ－ルド絶縁"),VLOOKUP(L24,変１,8,FALSE),IF(AND(BA22=1,F24=60,L22="油入自冷"),VLOOKUP(L24,変１,13,FALSE),IF(AND(BA22=1,F24=60,L22="モ－ルド絶縁"),VLOOKUP(L24,変１,18,FALSE),FALSE)))))</f>
        <v>0</v>
      </c>
      <c r="AO23" s="107">
        <f>IF(ISNA(VLOOKUP(L24,変ＵＳＥＲ,3,FALSE)),0,VLOOKUP(L24,変ＵＳＥＲ,3,FALSE)*BA25/50)</f>
        <v>0</v>
      </c>
      <c r="AP23" s="108">
        <f>IF(W22="",0,W22*1000/BA24^2/SQRT(BA22))</f>
        <v>0</v>
      </c>
      <c r="AQ23" s="107">
        <f>IF(AND(BA22=1,BA23=2),1,IF(AND(BA22=3,BA23=3),1,IF(AND(BA22=1,BA23=3),2,IF(AND(BA22=3,BA23=4)*OR(BB22=1,BB23=1,BB24=1,BB25=1),1,SQRT(3)))))</f>
        <v>2</v>
      </c>
      <c r="AR23" s="109">
        <f>IF(X22="","",IF(X22="600V IV",VLOOKUP(X24,ＩＶ,3,FALSE),IF(X22="600V CV-T",VLOOKUP(X24,ＣＶＴ,3,FALSE),IF(OR(X22="600V CV-1C",X22="600V CV-2C",X22="600V CV-3C",X22="600V CV-4C"),VLOOKUP(X24,ＣＶ２３Ｃ,3,FALSE),VLOOKUP(X24,ＣＵＳＥＲ,3,FALSE)))))</f>
        <v>9.0499999999999997E-2</v>
      </c>
      <c r="AS23" s="107">
        <f>IF(AD25="",AP25,AP25+(AD25/1000))</f>
        <v>1.1538889414642555</v>
      </c>
      <c r="AT23" s="110">
        <f>IF(AU25="",AT25,AU25)</f>
        <v>0.67289208179770754</v>
      </c>
      <c r="AU23" s="110" t="str">
        <f>IF(D22="","",IF(AND(D26="",D30&lt;&gt;"",AV25=AV33),AT31,IF(AND(D26="",D30="",D34&lt;&gt;"",AV29=AV37),AT35,IF(AND(D26="",D30="",D34="",D38&lt;&gt;"",AV33=AV41),AT39,IF(AND(D26="",D30="",D34="",D38="",D42&lt;&gt;"",AV37=AV45),AT43,IF(AND(D26="",D30="",D34="",D38="",D42="",D46&lt;&gt;"",AV41=AV49),AT47,IF(AND(D26="",D30="",D34="",D38="",D42="",D46="",D50&lt;&gt;"",AV45=AV53),AT51,"")))))))</f>
        <v/>
      </c>
      <c r="AV23" s="109" t="str">
        <f>IF(L22="発電機",IF(ISNA(VLOOKUP(L24,ＡＣＧ,3,FALSE)),0,VLOOKUP(L24,ＡＣＧ,3,FALSE)*BA25/50),"")</f>
        <v/>
      </c>
      <c r="AW23" s="111">
        <f>IF(AT23="","",(AT23-AP22*(AT22^2+AT23^2))/((AT22*AP22)^2+(AP22*AT23-1)^2))</f>
        <v>0.67289208179770754</v>
      </c>
      <c r="AX23" s="112"/>
      <c r="AY23" s="113">
        <f>IF(N(AY25)=10^30,10^30,IF(N(AY29)=10^30,(N(AY25)*(N(AY28)^2+N(AY29)^2)+N(AY29)*(N(AY24)^2+N(AY25)^2))/((N(AY24)+N(AY28))^2+(N(AY25)+N(AY29))^2),(N(AY25)*(N(AY26)^2+N(AY27)^2)+N(AY27)*(N(AY24)^2+N(AY25)^2))/((N(AY24)+N(AY26))^2+(N(AY25)+N(AY27))^2)))</f>
        <v>1E+30</v>
      </c>
      <c r="AZ23" s="52"/>
      <c r="BA23" s="114">
        <f>IF(AND(H22="",SUM(S22:S25)&lt;&gt;0),BA19,H22)</f>
        <v>3</v>
      </c>
      <c r="BB23" s="115">
        <f>IF(AND(BA22=3,S23&lt;&gt;""),1,0)</f>
        <v>0</v>
      </c>
      <c r="BC23" s="52"/>
      <c r="BD23" s="29" t="s">
        <v>104</v>
      </c>
      <c r="BE23" s="1"/>
      <c r="BF23" s="29" t="s">
        <v>127</v>
      </c>
      <c r="BH23" s="162"/>
      <c r="BI23" s="162"/>
      <c r="BJ23" s="4"/>
      <c r="BK23" s="4"/>
    </row>
    <row r="24" spans="2:63" ht="15" customHeight="1" x14ac:dyDescent="0.15">
      <c r="B24" s="158" t="s">
        <v>61</v>
      </c>
      <c r="C24" s="245"/>
      <c r="D24" s="432"/>
      <c r="E24" s="433"/>
      <c r="F24" s="438"/>
      <c r="G24" s="438"/>
      <c r="H24" s="438"/>
      <c r="I24" s="438"/>
      <c r="J24" s="438"/>
      <c r="K24" s="439"/>
      <c r="L24" s="440"/>
      <c r="M24" s="441"/>
      <c r="N24" s="437"/>
      <c r="O24" s="171"/>
      <c r="P24" s="196"/>
      <c r="Q24" s="177"/>
      <c r="R24" s="173"/>
      <c r="S24" s="174" t="str">
        <f t="shared" si="0"/>
        <v/>
      </c>
      <c r="T24" s="175"/>
      <c r="U24" s="178" t="str">
        <f>IF(OR(BA24="",S24=""),"",S24*1000*T24/(SQRT(BA22)*BA24))</f>
        <v/>
      </c>
      <c r="V24" s="179">
        <f>IF(AND(N(U22)=0,N(U23)=0,N(U24)=0,N(U25)=0),"",V22*(P22*R22*T22+P23*R23*T23+P24*R24*T24+P25*R25*T25)/(P22*T22+P23*T23+P24*T24+P25*T25))</f>
        <v>1.7341507375259757</v>
      </c>
      <c r="W24" s="209">
        <f>IF(AND(N(AP24)=0,N(AP25)=0,N(AP23)=0),"",IF(AP25&gt;=0,COS(ATAN(AP25/AP24)),-COS(ATAN(AP25/AP24))))</f>
        <v>0.83253999999999995</v>
      </c>
      <c r="X24" s="180">
        <v>60</v>
      </c>
      <c r="Y24" s="181">
        <v>1</v>
      </c>
      <c r="Z24" s="182">
        <v>43</v>
      </c>
      <c r="AA24" s="183"/>
      <c r="AB24" s="184"/>
      <c r="AC24" s="181"/>
      <c r="AD24" s="182"/>
      <c r="AE24" s="185"/>
      <c r="AF24" s="136" t="str">
        <f>IF(OR(AF22="",AG18&lt;&gt;""),"",BA24/SQRT(AW24^2+AW25^2))</f>
        <v/>
      </c>
      <c r="AG24" s="205">
        <f>IF(AG22="","",100*((BA24/AQ23)-AG22)/(BA24/AQ23))</f>
        <v>8.5276578870393145</v>
      </c>
      <c r="AH24" s="206"/>
      <c r="AI24" s="208"/>
      <c r="AJ24" s="211" t="s">
        <v>213</v>
      </c>
      <c r="AK24" s="213" t="s">
        <v>214</v>
      </c>
      <c r="AL24" s="137"/>
      <c r="AM24" s="59"/>
      <c r="AN24" s="138" t="b">
        <f>IF(BA22="","",IF(AND(BA22=3,F24=50,L22="油入自冷"),VLOOKUP(L24,変３,2,FALSE),IF(AND(BA22=3,F24=50,L22="モ－ルド絶縁"),VLOOKUP(L24,変３,7,FALSE),IF(AND(BA22=3,F24=60,L22="油入自冷"),VLOOKUP(L24,変３,12,FALSE),IF(AND(BA22=3,F24=60,L22="モ－ルド絶縁"),VLOOKUP(L24,変３,17,FALSE),FALSE)))))</f>
        <v>0</v>
      </c>
      <c r="AO24" s="109" t="str">
        <f>IF(AND(L18="",N(AY22)&lt;10^29),AY22,"")</f>
        <v/>
      </c>
      <c r="AP24" s="139">
        <f>IF(V22="","",IF(AND(N(V24)=0,N(AP23)=0),"",AQ24/((AQ24*AP23)^2+(AP23*AQ25-1)^2)))</f>
        <v>1.7341507375259757</v>
      </c>
      <c r="AQ24" s="107">
        <f>IF(N(V24)=0,10^30,V24)</f>
        <v>1.7341507375259757</v>
      </c>
      <c r="AR24" s="109" t="str">
        <f>IF(AB22="","",IF(AB22="600V IV",VLOOKUP(AB24,ＩＶ,2,FALSE),IF(AB22="600V CV-T",VLOOKUP(AB24,ＣＶＴ,2,FALSE),IF(OR(AB22="600V CV-1C",AB22="600V CV-2C",AB22="600V CV-3C",AB22="600V CV-4C"),VLOOKUP(AB24,ＣＶ２３Ｃ,2,FALSE),VLOOKUP(AB24,ＣＵＳＥＲ,2,FALSE)))))</f>
        <v/>
      </c>
      <c r="AS24" s="107">
        <f>IF(OR(AND(AS26="",AS27=""),AND(D22="",D26&lt;&gt;"")),AS22,(AS22*(AT26^2+AT27^2)+AT26*(AS22^2+AS23^2))/((AS22+AT26)^2+(AS23+AT27)^2))</f>
        <v>0.98095559028801649</v>
      </c>
      <c r="AT24" s="110">
        <f>IF(X25="",AS24,N(AS24)+(X25/1000))</f>
        <v>1.0108884126548896</v>
      </c>
      <c r="AU24" s="110" t="str">
        <f>IF(AU22="","",(AT24*(AU22^2+AU23^2)+AU22*(AT24^2+AT25^2))/((AT24+AU22)^2+(AT25+AU23)^2))</f>
        <v/>
      </c>
      <c r="AV24" s="110">
        <f>IF(BA24=0,1,0)</f>
        <v>0</v>
      </c>
      <c r="AW24" s="111" t="str">
        <f>IF(AO24="","",AW22+AO24)</f>
        <v/>
      </c>
      <c r="AX24" s="112">
        <f>IF(AND(AX20="",AW24&lt;&gt;""),BA24*SQRT(AW22^2+AW23^2)/SQRT(AW24^2+AW25^2),IF(BA24&lt;&gt;0,AX20,""))</f>
        <v>217.0117568586613</v>
      </c>
      <c r="AY24" s="140">
        <f>IF(L24="",10^30,SQRT(BA22)*(BA24^2)*(N(AN22)+N(AN24)+N(AO22)+N(AV22))/(100000*L24*M22))</f>
        <v>1E+30</v>
      </c>
      <c r="AZ24" s="141"/>
      <c r="BA24" s="114">
        <f>IF(AND(J22="",SUM(S22:S25)&lt;&gt;0),BA20,J22)</f>
        <v>220</v>
      </c>
      <c r="BB24" s="115">
        <f>IF(AND(BA22=3,S24&lt;&gt;""),1,0)</f>
        <v>0</v>
      </c>
      <c r="BC24" s="52"/>
      <c r="BD24" s="29" t="s">
        <v>105</v>
      </c>
      <c r="BE24" s="1"/>
      <c r="BF24" s="29" t="s">
        <v>128</v>
      </c>
      <c r="BH24" s="162"/>
      <c r="BI24" s="162"/>
      <c r="BJ24" s="4"/>
      <c r="BK24" s="4"/>
    </row>
    <row r="25" spans="2:63" ht="15" customHeight="1" x14ac:dyDescent="0.15">
      <c r="B25" s="158" t="s">
        <v>62</v>
      </c>
      <c r="C25" s="245"/>
      <c r="D25" s="442"/>
      <c r="E25" s="443"/>
      <c r="F25" s="444">
        <v>50</v>
      </c>
      <c r="G25" s="444"/>
      <c r="H25" s="444"/>
      <c r="I25" s="444"/>
      <c r="J25" s="444"/>
      <c r="K25" s="445"/>
      <c r="L25" s="238" t="str">
        <f>IF(M22="","",L24*1000*M22/(SQRT(BA22)*BA24))</f>
        <v/>
      </c>
      <c r="M25" s="239"/>
      <c r="N25" s="446"/>
      <c r="O25" s="186"/>
      <c r="P25" s="197"/>
      <c r="Q25" s="187"/>
      <c r="R25" s="188"/>
      <c r="S25" s="189" t="str">
        <f t="shared" si="0"/>
        <v/>
      </c>
      <c r="T25" s="190"/>
      <c r="U25" s="191" t="str">
        <f>IF(OR(BA24="",S25=""),"",S25*1000*T25/(SQRT(BA22)*BA24))</f>
        <v/>
      </c>
      <c r="V25" s="192">
        <f>IF(AND(N(U22)=0,N(U23)=0,N(U24)=0,N(U25)=0),"",IF(V22&gt;=0,SQRT(ABS(V22^2-V24^2)),-SQRT(V22^2-V24^2)))</f>
        <v>1.1538889414642555</v>
      </c>
      <c r="W25" s="210"/>
      <c r="X25" s="215">
        <f>IF(Y24="","",AQ22*Z24*AR22*((1+0.00393*(F25-20))/1.2751)/Y24)</f>
        <v>29.932822366873197</v>
      </c>
      <c r="Y25" s="216"/>
      <c r="Z25" s="217">
        <f>IF(Y24="","",(BA25/50)*AQ22*Z24*AR23/Y24)</f>
        <v>9.3396000000000008</v>
      </c>
      <c r="AA25" s="218"/>
      <c r="AB25" s="219" t="str">
        <f>IF(AC24="","",AQ22*AD24*AR24*((1+0.00393*(F25-20))/1.2751)/AC24)</f>
        <v/>
      </c>
      <c r="AC25" s="216"/>
      <c r="AD25" s="217" t="str">
        <f>IF(AC24="","",(BA25/50)*AQ22*AD24*AR25/AC24)</f>
        <v/>
      </c>
      <c r="AE25" s="242"/>
      <c r="AF25" s="150">
        <f>IF(AND(AX22&lt;&gt;"",D22=""),AX22,"")</f>
        <v>100.61957632425676</v>
      </c>
      <c r="AG25" s="243">
        <f>IF(AP24="","",AP24)</f>
        <v>1.7341507375259757</v>
      </c>
      <c r="AH25" s="244"/>
      <c r="AI25" s="151">
        <f>IF(AP25="","",AP25)</f>
        <v>1.1538889414642555</v>
      </c>
      <c r="AJ25" s="212"/>
      <c r="AK25" s="214"/>
      <c r="AL25" s="152"/>
      <c r="AM25" s="59"/>
      <c r="AN25" s="153" t="b">
        <f>IF(BA22="","",IF(AND(BA22=3,F24=50,L22="油入自冷"),VLOOKUP(L24,変３,3,FALSE),IF(AND(BA22=3,F24=50,L22="モ－ルド絶縁"),VLOOKUP(L24,変３,8,FALSE),IF(AND(BA22=3,F24=60,L22="油入自冷"),VLOOKUP(L24,変３,13,FALSE),IF(AND(BA22=3,F24=60,L22="モ－ルド絶縁"),VLOOKUP(L24,変３,18,FALSE),FALSE)))))</f>
        <v>0</v>
      </c>
      <c r="AO25" s="153" t="str">
        <f>IF(AND(L18="",N(AY23)&lt;10^29),AY23,"")</f>
        <v/>
      </c>
      <c r="AP25" s="154">
        <f>IF(V22="","",IF(AND(N(V25)=0,N(AP23)=0),0,(AQ25-AP23*(AQ24^2+AQ25^2))/((AQ24*AP23)^2+(AP23*AQ25-1)^2)))</f>
        <v>1.1538889414642555</v>
      </c>
      <c r="AQ25" s="155">
        <f>IF(N(V25)=0,10^30,V25)</f>
        <v>1.1538889414642555</v>
      </c>
      <c r="AR25" s="153" t="str">
        <f>IF(AB22="","",IF(AB22="600V IV",VLOOKUP(AB24,ＩＶ,3,FALSE),IF(AB22="600V CV-T",VLOOKUP(AB24,ＣＶＴ,3,FALSE),IF(OR(AB22="600V CV-1C",AB22="600V CV-2C",AB22="600V CV-3C",AB22="600V CV-4C"),VLOOKUP(AB24,ＣＶ２３Ｃ,3,FALSE),VLOOKUP(AB24,ＣＵＳＥＲ,3,FALSE)))))</f>
        <v/>
      </c>
      <c r="AS25" s="155">
        <f>IF(OR(AND(AS26="",AS27=""),AND(D22="",D26&lt;&gt;"")),AS23,(AS23*(AT26^2+AT27^2)+AT27*(AS22^2+AS23^2))/((AS22+AT26)^2+(AS23+AT27)^2))</f>
        <v>0.66355248179770754</v>
      </c>
      <c r="AT25" s="156">
        <f>IF(Z25="",AS25,N(AS25)+(Z25/1000))</f>
        <v>0.67289208179770754</v>
      </c>
      <c r="AU25" s="156" t="str">
        <f>IF(AU23="","",(AT25*(AU22^2+AU23^2)+AU23*(AT24^2+AT25^2))/((AT24+AU22)^2+(AT25+AU23)^2))</f>
        <v/>
      </c>
      <c r="AV25" s="156">
        <f>AV21+AV24</f>
        <v>1</v>
      </c>
      <c r="AW25" s="155" t="str">
        <f>IF(AO25="","",AW23+AO25)</f>
        <v/>
      </c>
      <c r="AX25" s="157"/>
      <c r="AY25" s="140">
        <f>IF(L24="",10^30,SQRT(BA22)*(BA24^2)*(N(AN23)+N(AN25)+N(AO23)+N(AV23))/(100000*L24*M22))</f>
        <v>1E+30</v>
      </c>
      <c r="AZ25" s="141"/>
      <c r="BA25" s="114">
        <f>IF(AND(F24="",SUM(S22:S25)&lt;&gt;0),BA21,F24)</f>
        <v>60</v>
      </c>
      <c r="BB25" s="115">
        <f>IF(AND(BA22=3,S25&lt;&gt;""),1,0)</f>
        <v>0</v>
      </c>
      <c r="BC25" s="52"/>
      <c r="BD25" s="29" t="s">
        <v>106</v>
      </c>
      <c r="BE25" s="1"/>
      <c r="BF25" s="29" t="s">
        <v>129</v>
      </c>
      <c r="BH25" s="162"/>
      <c r="BI25" s="162"/>
      <c r="BJ25" s="4"/>
      <c r="BK25" s="4"/>
    </row>
    <row r="26" spans="2:63" ht="15" customHeight="1" x14ac:dyDescent="0.15">
      <c r="B26" s="158"/>
      <c r="C26" s="245" t="str">
        <f>IF(BH26=1,"●","・")</f>
        <v>●</v>
      </c>
      <c r="D26" s="425"/>
      <c r="E26" s="426" t="s">
        <v>215</v>
      </c>
      <c r="F26" s="427"/>
      <c r="G26" s="240" t="str">
        <f>IF(F26="","","φ")</f>
        <v/>
      </c>
      <c r="H26" s="428"/>
      <c r="I26" s="240" t="str">
        <f>IF(H26="","","W")</f>
        <v/>
      </c>
      <c r="J26" s="428"/>
      <c r="K26" s="246" t="str">
        <f>IF(J26="","","V")</f>
        <v/>
      </c>
      <c r="L26" s="429"/>
      <c r="M26" s="430"/>
      <c r="N26" s="431"/>
      <c r="O26" s="164" t="s">
        <v>218</v>
      </c>
      <c r="P26" s="194"/>
      <c r="Q26" s="165"/>
      <c r="R26" s="166"/>
      <c r="S26" s="167" t="str">
        <f>IF(R26="","",IF(Q26="",P26/R26,P26/(Q26*R26)))</f>
        <v/>
      </c>
      <c r="T26" s="168"/>
      <c r="U26" s="169" t="str">
        <f>IF(OR(BA28="",S26=""),"",S26*1000*T26/(SQRT(BA26)*BA28))</f>
        <v/>
      </c>
      <c r="V26" s="236">
        <f>IF(AND(N(U26)=0,N(U27)=0,N(U28)=0,N(U29)=0),"",BA28/(SUM(U26:U29)))</f>
        <v>3.4986335181541763</v>
      </c>
      <c r="W26" s="220"/>
      <c r="X26" s="222" t="s">
        <v>208</v>
      </c>
      <c r="Y26" s="223"/>
      <c r="Z26" s="224"/>
      <c r="AA26" s="228"/>
      <c r="AB26" s="230"/>
      <c r="AC26" s="223"/>
      <c r="AD26" s="224"/>
      <c r="AE26" s="232"/>
      <c r="AF26" s="104" t="str">
        <f>IF(OR(AND(AF22="",N(BA24)=0,BA28&lt;&gt;0),D26&lt;&gt;""),AX28/AQ27,"")</f>
        <v/>
      </c>
      <c r="AG26" s="234">
        <f>IF(BA28=0,"",IF(AD28="",AX26,IF(AND(D26&lt;&gt;"",AU26=""),AX28*SQRT(AP28^2+AP29^2)/SQRT(AS26^2+AS27^2)/AQ27,AX26*SQRT(AP28^2+AP29^2)/SQRT(AS26^2+AS27^2))))</f>
        <v>99.192622906949595</v>
      </c>
      <c r="AH26" s="235"/>
      <c r="AI26" s="105">
        <f>IF(AG26="","",IF(N(U26)&lt;0,-AX26*AQ27/SQRT(AS26^2+AS27^2),AX26*AQ27/SQRT(AS26^2+AS27^2)))</f>
        <v>56.703637229933165</v>
      </c>
      <c r="AJ26" s="201" t="s">
        <v>209</v>
      </c>
      <c r="AK26" s="202"/>
      <c r="AL26" s="106"/>
      <c r="AM26" s="59"/>
      <c r="AN26" s="107" t="b">
        <f>IF(BA26="","",IF(AND(BA26=1,F28=50,L26="油入自冷"),VLOOKUP(L28,変１,2,FALSE),IF(AND(BA26=1,F28=50,L26="モ－ルド絶縁"),VLOOKUP(L28,変１,7,FALSE),IF(AND(BA26=1,F28=60,L26="油入自冷"),VLOOKUP(L28,変１,12,FALSE),IF(AND(BA26=1,F28=60,L26="モ－ルド絶縁"),VLOOKUP(L28,変１,17,FALSE),FALSE)))))</f>
        <v>0</v>
      </c>
      <c r="AO26" s="107">
        <f>IF(ISNA(VLOOKUP(L28,変ＵＳＥＲ,2,FALSE)),0,VLOOKUP(L28,変ＵＳＥＲ,2,FALSE))</f>
        <v>0</v>
      </c>
      <c r="AP26" s="108">
        <f>IF(N26="",0,N26*1000/BA28^2/SQRT(BA26))</f>
        <v>0</v>
      </c>
      <c r="AQ26" s="107">
        <f>IF(BA26=1,2,IF(BA26=3,SQRT(3),FALSE))</f>
        <v>2</v>
      </c>
      <c r="AR26" s="109">
        <f>IF(X26="","",IF(X26="600V IV",VLOOKUP(X28,ＩＶ,2,FALSE),IF(X26="600V CV-T",VLOOKUP(X28,ＣＶＴ,2,FALSE),IF(OR(X26="600V CV-1C",X26="600V CV-2C",X26="600V CV-3C",X26="600V CV-4C"),VLOOKUP(X28,ＣＶ２３Ｃ,2,FALSE),VLOOKUP(X28,ＣＵＳＥＲ,2,FALSE)))))</f>
        <v>0.626</v>
      </c>
      <c r="AS26" s="107">
        <f>IF(AB29="",AP28,AP28+(AB29/1000))</f>
        <v>2.8279454727240205</v>
      </c>
      <c r="AT26" s="110">
        <f>IF(AU28="",AT28,AU28)</f>
        <v>2.2579645361154426</v>
      </c>
      <c r="AU26" s="110" t="str">
        <f>IF(D26="","",IF(AND(D30="",D34&lt;&gt;"",AV29=AV37),AT34,IF(AND(D30="",D34="",D38&lt;&gt;"",AV33=AV41),AT38,IF(AND(D30="",D34="",D38="",D42&lt;&gt;"",AV37=AV45),AT42,IF(AND(D30="",D34="",D38="",D42="",D46&lt;&gt;"",AV41=AV49),AT46,IF(AND(D30="",D34="",D38="",D42="",D46="",D50&lt;&gt;"",AV45=AV53),AT50,IF(AND(D30="",D34="",D38="",D42="",D46="",D50="",D54&lt;&gt;"",AV49=AV57),AT54,"")))))))</f>
        <v/>
      </c>
      <c r="AV26" s="110" t="str">
        <f>IF(L26="発電機",IF(ISNA(VLOOKUP(L28,ＡＣＧ,2,FALSE)),0,VLOOKUP(L28,ＡＣＧ,2,FALSE)),"")</f>
        <v/>
      </c>
      <c r="AW26" s="111">
        <f>IF(AT26="","",AT26/((AT26*AP26)^2+(AT27*AP26-1)^2))</f>
        <v>2.2579645361154426</v>
      </c>
      <c r="AX26" s="112">
        <f>IF(BA28=0,"",IF(OR(AX22="",AF26&lt;&gt;""),AF26*SQRT(AS28^2+AS29^2)/SQRT(AT28^2+AT29^2),AX22*SQRT(AS28^2+AS29^2)/SQRT(AT28^2+AT29^2)))</f>
        <v>99.192622906949595</v>
      </c>
      <c r="AY26" s="113">
        <f>IF(N(AY28)=10^30,10^30,IF(N(AY32)=10^30,(N(AY28)*(N(AY32)^2+N(AY33)^2)+N(AY32)*(N(AY28)^2+N(AY29)^2))/((N(AY28)+N(AY32))^2+(N(AY29)+N(AY33))^2),(N(AY28)*(N(AY30)^2+N(AY31)^2)+N(AY30)*(N(AY28)^2+N(AY29)^2))/((N(AY28)+N(AY30))^2+(N(AY29)+N(AY31))^2)))</f>
        <v>1E+30</v>
      </c>
      <c r="AZ26" s="52"/>
      <c r="BA26" s="114">
        <f>IF(AND(F26="",SUM(S26:S29)&lt;&gt;0),BA22,F26)</f>
        <v>1</v>
      </c>
      <c r="BB26" s="115">
        <f>IF(AND(BA26=3,S26&lt;&gt;""),1,0)</f>
        <v>0</v>
      </c>
      <c r="BC26" s="52"/>
      <c r="BD26" s="29" t="s">
        <v>107</v>
      </c>
      <c r="BE26" s="1"/>
      <c r="BF26" s="29" t="s">
        <v>130</v>
      </c>
      <c r="BH26" s="162">
        <f>IF(OR(E26="",F29="",AND(OR(P26="",Q26="",R26="",T26=""),OR(P27="",Q27="",R27="",T27=""),OR(P28="",Q28="",R28="",T28=""),OR(P29="",Q29="",R29="",T29="")),AND(OR(X26="",X28="",Y28="",Z28=""),OR(AB26="",AB28="",AC28="",AD28=""))),0,1)</f>
        <v>1</v>
      </c>
      <c r="BI26" s="162">
        <f>BH26+BI22</f>
        <v>3</v>
      </c>
      <c r="BJ26" s="4"/>
      <c r="BK26" s="4"/>
    </row>
    <row r="27" spans="2:63" ht="15" customHeight="1" x14ac:dyDescent="0.15">
      <c r="B27" s="158" t="s">
        <v>63</v>
      </c>
      <c r="C27" s="245"/>
      <c r="D27" s="432"/>
      <c r="E27" s="433"/>
      <c r="F27" s="434"/>
      <c r="G27" s="241"/>
      <c r="H27" s="435"/>
      <c r="I27" s="241"/>
      <c r="J27" s="435"/>
      <c r="K27" s="247"/>
      <c r="L27" s="436"/>
      <c r="M27" s="170" t="str">
        <f>IF(L26="発電機",SQRT(AV26^2+AV27^2),IF(L28="","",IF(OR(L26="油入自冷",L26="モ－ルド絶縁"),IF(BA26=1,SQRT(AN26^2+AN27^2),IF(BA26=3,SQRT(AN28^2+AN29^2))),SQRT(AO26^2+AO27^2))))</f>
        <v/>
      </c>
      <c r="N27" s="437"/>
      <c r="O27" s="171" t="s">
        <v>207</v>
      </c>
      <c r="P27" s="195">
        <v>11.182</v>
      </c>
      <c r="Q27" s="172">
        <v>1</v>
      </c>
      <c r="R27" s="173">
        <v>0.80830000000000002</v>
      </c>
      <c r="S27" s="174">
        <f t="shared" si="0"/>
        <v>13.833972534949895</v>
      </c>
      <c r="T27" s="175">
        <v>1</v>
      </c>
      <c r="U27" s="176">
        <f>IF(OR(BA28="",S27=""),"",S27*1000*T27/(SQRT(BA26)*BA28))</f>
        <v>62.881693340681338</v>
      </c>
      <c r="V27" s="237"/>
      <c r="W27" s="221"/>
      <c r="X27" s="225"/>
      <c r="Y27" s="226"/>
      <c r="Z27" s="227"/>
      <c r="AA27" s="229"/>
      <c r="AB27" s="231"/>
      <c r="AC27" s="226"/>
      <c r="AD27" s="227"/>
      <c r="AE27" s="233"/>
      <c r="AF27" s="124" t="str">
        <f>IF(OR(AF26="",AG22&lt;&gt;""),"",AF26*AQ27/SQRT(AT26^2+AT27^2))</f>
        <v/>
      </c>
      <c r="AG27" s="205">
        <f>IF(AG26="","",100*AG26*AQ27/BA28)</f>
        <v>90.175111733590541</v>
      </c>
      <c r="AH27" s="206"/>
      <c r="AI27" s="207">
        <f>IF(BA28=0,"",IF(AI22="",AX28/SQRT(AT26^2+AT27^2),IF(AI30="","",IF(AT26&lt;0,-AX26*AQ23/SQRT(AT26^2+AT27^2),AX26*AQ23/SQRT(AT26^2+AT27^2)))))</f>
        <v>72.276700858087025</v>
      </c>
      <c r="AJ27" s="203"/>
      <c r="AK27" s="204"/>
      <c r="AL27" s="125"/>
      <c r="AM27" s="59"/>
      <c r="AN27" s="107" t="b">
        <f>IF(BA26="","",IF(AND(BA26=1,F28=50,L26="油入自冷"),VLOOKUP(L28,変１,3,FALSE),IF(AND(BA26=1,F28=50,L26="モ－ルド絶縁"),VLOOKUP(L28,変１,8,FALSE),IF(AND(BA26=1,F28=60,L26="油入自冷"),VLOOKUP(L28,変１,13,FALSE),IF(AND(BA26=1,F28=60,L26="モ－ルド絶縁"),VLOOKUP(L28,変１,18,FALSE),FALSE)))))</f>
        <v>0</v>
      </c>
      <c r="AO27" s="107">
        <f>IF(ISNA(VLOOKUP(L28,変ＵＳＥＲ,3,FALSE)),0,VLOOKUP(L28,変ＵＳＥＲ,3,FALSE)*BA29/50)</f>
        <v>0</v>
      </c>
      <c r="AP27" s="108">
        <f>IF(W26="",0,W26*1000/BA28^2/SQRT(BA26))</f>
        <v>0</v>
      </c>
      <c r="AQ27" s="107">
        <f>IF(AND(BA26=1,BA27=2),1,IF(AND(BA26=3,BA27=3),1,IF(AND(BA26=1,BA27=3),2,IF(AND(BA26=3,BA27=4)*OR(BB26=1,BB27=1,BB28=1,BB29=1),1,SQRT(3)))))</f>
        <v>2</v>
      </c>
      <c r="AR27" s="109">
        <f>IF(X26="","",IF(X26="600V IV",VLOOKUP(X28,ＩＶ,3,FALSE),IF(X26="600V CV-T",VLOOKUP(X28,ＣＶＴ,3,FALSE),IF(OR(X26="600V CV-1C",X26="600V CV-2C",X26="600V CV-3C",X26="600V CV-4C"),VLOOKUP(X28,ＣＶ２３Ｃ,3,FALSE),VLOOKUP(X28,ＣＵＳＥＲ,3,FALSE)))))</f>
        <v>9.3899999999999997E-2</v>
      </c>
      <c r="AS27" s="107">
        <f>IF(AD29="",AP29,AP29+(AD29/1000))</f>
        <v>2.0598934190029312</v>
      </c>
      <c r="AT27" s="110">
        <f>IF(AU29="",AT29,AU29)</f>
        <v>1.5606201142115699</v>
      </c>
      <c r="AU27" s="110" t="str">
        <f>IF(D26="","",IF(AND(D30="",D34&lt;&gt;"",AV29=AV37),AT35,IF(AND(D30="",D34="",D38&lt;&gt;"",AV33=AV41),AT39,IF(AND(D30="",D34="",D38="",D42&lt;&gt;"",AV37=AV45),AT43,IF(AND(D30="",D34="",D38="",D42="",D46&lt;&gt;"",AV41=AV49),AT47,IF(AND(D30="",D34="",D38="",D42="",D46="",D50&lt;&gt;"",AV45=AV53),AT51,IF(AND(D30="",D34="",D38="",D42="",D46="",D50="",D54&lt;&gt;"",AV49=AV57),AT55,"")))))))</f>
        <v/>
      </c>
      <c r="AV27" s="109" t="str">
        <f>IF(L26="発電機",IF(ISNA(VLOOKUP(L28,ＡＣＧ,3,FALSE)),0,VLOOKUP(L28,ＡＣＧ,3,FALSE)*BA29/50),"")</f>
        <v/>
      </c>
      <c r="AW27" s="111">
        <f>IF(AT27="","",(AT27-AP26*(AT26^2+AT27^2))/((AT26*AP26)^2+(AP26*AT27-1)^2))</f>
        <v>1.5606201142115699</v>
      </c>
      <c r="AX27" s="112"/>
      <c r="AY27" s="113">
        <f>IF(N(AY29)=10^30,10^30,IF(N(AY33)=10^30,(N(AY29)*(N(AY32)^2+N(AY33)^2)+N(AY33)*(N(AY28)^2+N(AY29)^2))/((N(AY28)+N(AY32))^2+(N(AY29)+N(AY33))^2),(N(AY29)*(N(AY30)^2+N(AY31)^2)+N(AY31)*(N(AY28)^2+N(AY29)^2))/((N(AY28)+N(AY30))^2+(N(AY29)+N(AY31))^2)))</f>
        <v>1E+30</v>
      </c>
      <c r="AZ27" s="52"/>
      <c r="BA27" s="114">
        <f>IF(AND(H26="",SUM(S26:S29)&lt;&gt;0),BA23,H26)</f>
        <v>3</v>
      </c>
      <c r="BB27" s="115">
        <f>IF(AND(BA26=3,S27&lt;&gt;""),1,0)</f>
        <v>0</v>
      </c>
      <c r="BC27" s="52"/>
      <c r="BD27" s="29" t="s">
        <v>108</v>
      </c>
      <c r="BE27" s="1"/>
      <c r="BF27" s="29" t="s">
        <v>131</v>
      </c>
      <c r="BH27" s="162"/>
      <c r="BI27" s="162"/>
      <c r="BJ27" s="4"/>
      <c r="BK27" s="4"/>
    </row>
    <row r="28" spans="2:63" ht="15" customHeight="1" x14ac:dyDescent="0.15">
      <c r="B28" s="158" t="s">
        <v>64</v>
      </c>
      <c r="C28" s="245"/>
      <c r="D28" s="432"/>
      <c r="E28" s="433"/>
      <c r="F28" s="438"/>
      <c r="G28" s="438"/>
      <c r="H28" s="438"/>
      <c r="I28" s="438"/>
      <c r="J28" s="438"/>
      <c r="K28" s="439"/>
      <c r="L28" s="440"/>
      <c r="M28" s="441"/>
      <c r="N28" s="437"/>
      <c r="O28" s="171"/>
      <c r="P28" s="196"/>
      <c r="Q28" s="177"/>
      <c r="R28" s="173"/>
      <c r="S28" s="174" t="str">
        <f t="shared" si="0"/>
        <v/>
      </c>
      <c r="T28" s="175"/>
      <c r="U28" s="178" t="str">
        <f>IF(OR(BA28="",S28=""),"",S28*1000*T28/(SQRT(BA26)*BA28))</f>
        <v/>
      </c>
      <c r="V28" s="179">
        <f>IF(AND(N(U26)=0,N(U27)=0,N(U28)=0,N(U29)=0),"",V26*(P26*R26*T26+P27*R27*T27+P28*R28*T28+P29*R29*T29)/(P26*T26+P27*T27+P28*T28+P29*T29))</f>
        <v>2.8279454727240205</v>
      </c>
      <c r="W28" s="209">
        <f>IF(AND(N(AP28)=0,N(AP29)=0,N(AP27)=0),"",IF(AP29&gt;=0,COS(ATAN(AP29/AP28)),-COS(ATAN(AP29/AP28))))</f>
        <v>0.80830000000000002</v>
      </c>
      <c r="X28" s="180">
        <v>38</v>
      </c>
      <c r="Y28" s="181">
        <v>1</v>
      </c>
      <c r="Z28" s="182">
        <v>39</v>
      </c>
      <c r="AA28" s="183"/>
      <c r="AB28" s="184"/>
      <c r="AC28" s="181"/>
      <c r="AD28" s="182"/>
      <c r="AE28" s="185"/>
      <c r="AF28" s="136" t="str">
        <f>IF(OR(AF26="",AG22&lt;&gt;""),"",BA28/SQRT(AW28^2+AW29^2))</f>
        <v/>
      </c>
      <c r="AG28" s="205">
        <f>IF(AG26="","",100*((BA28/AQ27)-AG26)/(BA28/AQ27))</f>
        <v>9.8248882664094577</v>
      </c>
      <c r="AH28" s="206"/>
      <c r="AI28" s="208"/>
      <c r="AJ28" s="211" t="s">
        <v>219</v>
      </c>
      <c r="AK28" s="213" t="s">
        <v>220</v>
      </c>
      <c r="AL28" s="137"/>
      <c r="AM28" s="59"/>
      <c r="AN28" s="138" t="b">
        <f>IF(BA26="","",IF(AND(BA26=3,F28=50,L26="油入自冷"),VLOOKUP(L28,変３,2,FALSE),IF(AND(BA26=3,F28=50,L26="モ－ルド絶縁"),VLOOKUP(L28,変３,7,FALSE),IF(AND(BA26=3,F28=60,L26="油入自冷"),VLOOKUP(L28,変３,12,FALSE),IF(AND(BA26=3,F28=60,L26="モ－ルド絶縁"),VLOOKUP(L28,変３,17,FALSE),FALSE)))))</f>
        <v>0</v>
      </c>
      <c r="AO28" s="109" t="str">
        <f>IF(AND(L22="",N(AY26)&lt;10^29),AY26,"")</f>
        <v/>
      </c>
      <c r="AP28" s="139">
        <f>IF(V26="","",IF(AND(N(V28)=0,N(AP27)=0),"",AQ28/((AQ28*AP27)^2+(AP27*AQ29-1)^2)))</f>
        <v>2.8279454727240205</v>
      </c>
      <c r="AQ28" s="107">
        <f>IF(N(V28)=0,10^30,V28)</f>
        <v>2.8279454727240205</v>
      </c>
      <c r="AR28" s="109" t="str">
        <f>IF(AB26="","",IF(AB26="600V IV",VLOOKUP(AB28,ＩＶ,2,FALSE),IF(AB26="600V CV-T",VLOOKUP(AB28,ＣＶＴ,2,FALSE),IF(OR(AB26="600V CV-1C",AB26="600V CV-2C",AB26="600V CV-3C",AB26="600V CV-4C"),VLOOKUP(AB28,ＣＶ２３Ｃ,2,FALSE),VLOOKUP(AB28,ＣＵＳＥＲ,2,FALSE)))))</f>
        <v/>
      </c>
      <c r="AS28" s="107">
        <f>IF(OR(AND(AS30="",AS31=""),AND(D26="",D30&lt;&gt;"")),AS26,(AS26*(AT30^2+AT31^2)+AT30*(AS26^2+AS27^2))/((AS26+AT30)^2+(AS27+AT31)^2))</f>
        <v>2.216661202416125</v>
      </c>
      <c r="AT28" s="110">
        <f>IF(X29="",AS28,N(AS28)+(X29/1000))</f>
        <v>2.2579645361154426</v>
      </c>
      <c r="AU28" s="110" t="str">
        <f>IF(AU26="","",(AT28*(AU26^2+AU27^2)+AU26*(AT28^2+AT29^2))/((AT28+AU26)^2+(AT29+AU27)^2))</f>
        <v/>
      </c>
      <c r="AV28" s="110">
        <f>IF(BA28=0,1,0)</f>
        <v>0</v>
      </c>
      <c r="AW28" s="111" t="str">
        <f>IF(AO28="","",AW26+AO28)</f>
        <v/>
      </c>
      <c r="AX28" s="112">
        <f>IF(AND(AX24="",AW28&lt;&gt;""),BA28*SQRT(AW26^2+AW27^2)/SQRT(AW28^2+AW29^2),IF(BA28&lt;&gt;0,AX24,""))</f>
        <v>217.0117568586613</v>
      </c>
      <c r="AY28" s="140">
        <f>IF(L28="",10^30,SQRT(BA26)*(BA28^2)*(N(AN26)+N(AN28)+N(AO26)+N(AV26))/(100000*L28*M26))</f>
        <v>1E+30</v>
      </c>
      <c r="AZ28" s="141"/>
      <c r="BA28" s="114">
        <f>IF(AND(J26="",SUM(S26:S29)&lt;&gt;0),BA24,J26)</f>
        <v>220</v>
      </c>
      <c r="BB28" s="115">
        <f>IF(AND(BA26=3,S28&lt;&gt;""),1,0)</f>
        <v>0</v>
      </c>
      <c r="BC28" s="52"/>
      <c r="BD28" s="29" t="s">
        <v>109</v>
      </c>
      <c r="BE28" s="1"/>
      <c r="BF28" s="29"/>
      <c r="BH28" s="162"/>
      <c r="BI28" s="162"/>
      <c r="BJ28" s="4"/>
      <c r="BK28" s="4"/>
    </row>
    <row r="29" spans="2:63" ht="15" customHeight="1" x14ac:dyDescent="0.15">
      <c r="B29" s="158" t="s">
        <v>65</v>
      </c>
      <c r="C29" s="245"/>
      <c r="D29" s="442"/>
      <c r="E29" s="443"/>
      <c r="F29" s="444">
        <v>40</v>
      </c>
      <c r="G29" s="444"/>
      <c r="H29" s="444"/>
      <c r="I29" s="444"/>
      <c r="J29" s="444"/>
      <c r="K29" s="445"/>
      <c r="L29" s="238" t="str">
        <f>IF(M26="","",L28*1000*M26/(SQRT(BA26)*BA28))</f>
        <v/>
      </c>
      <c r="M29" s="239"/>
      <c r="N29" s="446"/>
      <c r="O29" s="186"/>
      <c r="P29" s="197"/>
      <c r="Q29" s="187"/>
      <c r="R29" s="188"/>
      <c r="S29" s="189" t="str">
        <f t="shared" si="0"/>
        <v/>
      </c>
      <c r="T29" s="190"/>
      <c r="U29" s="191" t="str">
        <f>IF(OR(BA28="",S29=""),"",S29*1000*T29/(SQRT(BA26)*BA28))</f>
        <v/>
      </c>
      <c r="V29" s="192">
        <f>IF(AND(N(U26)=0,N(U27)=0,N(U28)=0,N(U29)=0),"",IF(V26&gt;=0,SQRT(ABS(V26^2-V28^2)),-SQRT(V26^2-V28^2)))</f>
        <v>2.0598934190029312</v>
      </c>
      <c r="W29" s="210"/>
      <c r="X29" s="215">
        <f>IF(Y28="","",AQ26*Z28*AR26*((1+0.00393*(F29-20))/1.2751)/Y28)</f>
        <v>41.303333699317712</v>
      </c>
      <c r="Y29" s="216"/>
      <c r="Z29" s="217">
        <f>IF(Y28="","",(BA29/50)*AQ26*Z28*AR27/Y28)</f>
        <v>8.78904</v>
      </c>
      <c r="AA29" s="218"/>
      <c r="AB29" s="219" t="str">
        <f>IF(AC28="","",AQ26*AD28*AR28*((1+0.00393*(F29-20))/1.2751)/AC28)</f>
        <v/>
      </c>
      <c r="AC29" s="216"/>
      <c r="AD29" s="217" t="str">
        <f>IF(AC28="","",(BA29/50)*AQ26*AD28*AR29/AC28)</f>
        <v/>
      </c>
      <c r="AE29" s="242"/>
      <c r="AF29" s="150">
        <f>IF(AND(AX26&lt;&gt;"",D26=""),AX26,"")</f>
        <v>99.192622906949595</v>
      </c>
      <c r="AG29" s="243">
        <f>IF(AP28="","",AP28)</f>
        <v>2.8279454727240205</v>
      </c>
      <c r="AH29" s="244"/>
      <c r="AI29" s="151">
        <f>IF(AP29="","",AP29)</f>
        <v>2.0598934190029312</v>
      </c>
      <c r="AJ29" s="212"/>
      <c r="AK29" s="214"/>
      <c r="AL29" s="152"/>
      <c r="AM29" s="59"/>
      <c r="AN29" s="153" t="b">
        <f>IF(BA26="","",IF(AND(BA26=3,F28=50,L26="油入自冷"),VLOOKUP(L28,変３,3,FALSE),IF(AND(BA26=3,F28=50,L26="モ－ルド絶縁"),VLOOKUP(L28,変３,8,FALSE),IF(AND(BA26=3,F28=60,L26="油入自冷"),VLOOKUP(L28,変３,13,FALSE),IF(AND(BA26=3,F28=60,L26="モ－ルド絶縁"),VLOOKUP(L28,変３,18,FALSE),FALSE)))))</f>
        <v>0</v>
      </c>
      <c r="AO29" s="153" t="str">
        <f>IF(AND(L22="",N(AY27)&lt;10^29),AY27,"")</f>
        <v/>
      </c>
      <c r="AP29" s="154">
        <f>IF(V26="","",IF(AND(N(V29)=0,N(AP27)=0),0,(AQ29-AP27*(AQ28^2+AQ29^2))/((AQ28*AP27)^2+(AP27*AQ29-1)^2)))</f>
        <v>2.0598934190029312</v>
      </c>
      <c r="AQ29" s="155">
        <f>IF(N(V29)=0,10^30,V29)</f>
        <v>2.0598934190029312</v>
      </c>
      <c r="AR29" s="153" t="str">
        <f>IF(AB26="","",IF(AB26="600V IV",VLOOKUP(AB28,ＩＶ,3,FALSE),IF(AB26="600V CV-T",VLOOKUP(AB28,ＣＶＴ,3,FALSE),IF(OR(AB26="600V CV-1C",AB26="600V CV-2C",AB26="600V CV-3C",AB26="600V CV-4C"),VLOOKUP(AB28,ＣＶ２３Ｃ,3,FALSE),VLOOKUP(AB28,ＣＵＳＥＲ,3,FALSE)))))</f>
        <v/>
      </c>
      <c r="AS29" s="155">
        <f>IF(OR(AND(AS30="",AS31=""),AND(D26="",D30&lt;&gt;"")),AS27,(AS27*(AT30^2+AT31^2)+AT31*(AS26^2+AS27^2))/((AS26+AT30)^2+(AS27+AT31)^2))</f>
        <v>1.55183107421157</v>
      </c>
      <c r="AT29" s="156">
        <f>IF(Z29="",AS29,N(AS29)+(Z29/1000))</f>
        <v>1.5606201142115699</v>
      </c>
      <c r="AU29" s="156" t="str">
        <f>IF(AU27="","",(AT29*(AU26^2+AU27^2)+AU27*(AT28^2+AT29^2))/((AT28+AU26)^2+(AT29+AU27)^2))</f>
        <v/>
      </c>
      <c r="AV29" s="156">
        <f>AV25+AV28</f>
        <v>1</v>
      </c>
      <c r="AW29" s="155" t="str">
        <f>IF(AO29="","",AW27+AO29)</f>
        <v/>
      </c>
      <c r="AX29" s="157"/>
      <c r="AY29" s="140">
        <f>IF(L28="",10^30,SQRT(BA26)*(BA28^2)*(N(AN27)+N(AN29)+N(AO27)+N(AV27))/(100000*L28*M26))</f>
        <v>1E+30</v>
      </c>
      <c r="AZ29" s="141"/>
      <c r="BA29" s="114">
        <f>IF(AND(F28="",SUM(S26:S29)&lt;&gt;0),BA25,F28)</f>
        <v>60</v>
      </c>
      <c r="BB29" s="115">
        <f>IF(AND(BA26=3,S29&lt;&gt;""),1,0)</f>
        <v>0</v>
      </c>
      <c r="BC29" s="52"/>
      <c r="BD29" s="29" t="s">
        <v>110</v>
      </c>
      <c r="BE29" s="1"/>
      <c r="BF29" s="29"/>
      <c r="BH29" s="162"/>
      <c r="BI29" s="162"/>
      <c r="BJ29" s="4"/>
      <c r="BK29" s="4"/>
    </row>
    <row r="30" spans="2:63" ht="15" customHeight="1" x14ac:dyDescent="0.15">
      <c r="B30" s="158" t="s">
        <v>66</v>
      </c>
      <c r="C30" s="245" t="str">
        <f>IF(BH30=1,"●","・")</f>
        <v>●</v>
      </c>
      <c r="D30" s="425"/>
      <c r="E30" s="426" t="s">
        <v>221</v>
      </c>
      <c r="F30" s="427"/>
      <c r="G30" s="240" t="str">
        <f>IF(F30="","","φ")</f>
        <v/>
      </c>
      <c r="H30" s="428"/>
      <c r="I30" s="240" t="str">
        <f>IF(H30="","","W")</f>
        <v/>
      </c>
      <c r="J30" s="428"/>
      <c r="K30" s="246" t="str">
        <f>IF(J30="","","V")</f>
        <v/>
      </c>
      <c r="L30" s="429"/>
      <c r="M30" s="430"/>
      <c r="N30" s="431"/>
      <c r="O30" s="164" t="s">
        <v>222</v>
      </c>
      <c r="P30" s="194"/>
      <c r="Q30" s="165"/>
      <c r="R30" s="166"/>
      <c r="S30" s="167" t="str">
        <f>IF(R30="","",IF(Q30="",P30/R30,P30/(Q30*R30)))</f>
        <v/>
      </c>
      <c r="T30" s="168"/>
      <c r="U30" s="169" t="str">
        <f>IF(OR(BA32="",S30=""),"",S30*1000*T30/(SQRT(BA30)*BA32))</f>
        <v/>
      </c>
      <c r="V30" s="236">
        <f>IF(AND(N(U30)=0,N(U31)=0,N(U32)=0,N(U33)=0),"",BA32/(SUM(U30:U33)))</f>
        <v>11.836630733944954</v>
      </c>
      <c r="W30" s="220"/>
      <c r="X30" s="222" t="s">
        <v>208</v>
      </c>
      <c r="Y30" s="223"/>
      <c r="Z30" s="224"/>
      <c r="AA30" s="228"/>
      <c r="AB30" s="230"/>
      <c r="AC30" s="223"/>
      <c r="AD30" s="224"/>
      <c r="AE30" s="232"/>
      <c r="AF30" s="104" t="str">
        <f>IF(OR(AND(AF26="",N(BA28)=0,BA32&lt;&gt;0),D30&lt;&gt;""),AX32/AQ31,"")</f>
        <v/>
      </c>
      <c r="AG30" s="234">
        <f>IF(BA32=0,"",IF(AD32="",AX30,IF(AND(D30&lt;&gt;"",AU30=""),AX32*SQRT(AP32^2+AP33^2)/SQRT(AS30^2+AS31^2)/AQ31,AX30*SQRT(AP32^2+AP33^2)/SQRT(AS30^2+AS31^2))))</f>
        <v>98.580144559604591</v>
      </c>
      <c r="AH30" s="235"/>
      <c r="AI30" s="105">
        <f>IF(AG30="","",IF(N(U30)&lt;0,-AX30*AQ31/SQRT(AS30^2+AS31^2),AX30*AQ31/SQRT(AS30^2+AS31^2)))</f>
        <v>16.656791408875769</v>
      </c>
      <c r="AJ30" s="201" t="s">
        <v>209</v>
      </c>
      <c r="AK30" s="202"/>
      <c r="AL30" s="106"/>
      <c r="AM30" s="59"/>
      <c r="AN30" s="107" t="b">
        <f>IF(BA30="","",IF(AND(BA30=1,F32=50,L30="油入自冷"),VLOOKUP(L32,変１,2,FALSE),IF(AND(BA30=1,F32=50,L30="モ－ルド絶縁"),VLOOKUP(L32,変１,7,FALSE),IF(AND(BA30=1,F32=60,L30="油入自冷"),VLOOKUP(L32,変１,12,FALSE),IF(AND(BA30=1,F32=60,L30="モ－ルド絶縁"),VLOOKUP(L32,変１,17,FALSE),FALSE)))))</f>
        <v>0</v>
      </c>
      <c r="AO30" s="107">
        <f>IF(ISNA(VLOOKUP(L32,変ＵＳＥＲ,2,FALSE)),0,VLOOKUP(L32,変ＵＳＥＲ,2,FALSE))</f>
        <v>0</v>
      </c>
      <c r="AP30" s="108">
        <f>IF(N30="",0,N30*1000/BA32^2/SQRT(BA30))</f>
        <v>0</v>
      </c>
      <c r="AQ30" s="107">
        <f>IF(BA30=1,2,IF(BA30=3,SQRT(3),FALSE))</f>
        <v>2</v>
      </c>
      <c r="AR30" s="109">
        <f>IF(X30="","",IF(X30="600V IV",VLOOKUP(X32,ＩＶ,2,FALSE),IF(X30="600V CV-T",VLOOKUP(X32,ＣＶＴ,2,FALSE),IF(OR(X30="600V CV-1C",X30="600V CV-2C",X30="600V CV-3C",X30="600V CV-4C"),VLOOKUP(X32,ＣＶ２３Ｃ,2,FALSE),VLOOKUP(X32,ＣＵＳＥＲ,2,FALSE)))))</f>
        <v>0.626</v>
      </c>
      <c r="AS30" s="107">
        <f>IF(AB33="",AP32,AP32+(AB33/1000))</f>
        <v>10.096882748669724</v>
      </c>
      <c r="AT30" s="110">
        <f>IF(AU32="",AT32,AU32)</f>
        <v>10.173135057037696</v>
      </c>
      <c r="AU30" s="110" t="str">
        <f>IF(D30="","",IF(AND(D34="",D38&lt;&gt;"",AV33=AV41),AT38,IF(AND(D34="",D38="",D42&lt;&gt;"",AV37=AV45),AT42,IF(AND(D34="",D38="",D42="",D46&lt;&gt;"",AV41=AV49),AT46,IF(AND(D34="",D38="",D42="",D46="",D50&lt;&gt;"",AV45=AV53),AT50,IF(AND(D34="",D38="",D42="",D46="",D50="",D54&lt;&gt;"",AV49=AV57),AT54,IF(AND(D34="",D38="",D42="",D46="",D50="",D54="",D178&lt;&gt;"",AV53=AV181),AT178,"")))))))</f>
        <v/>
      </c>
      <c r="AV30" s="110" t="str">
        <f>IF(L30="発電機",IF(ISNA(VLOOKUP(L32,ＡＣＧ,2,FALSE)),0,VLOOKUP(L32,ＡＣＧ,2,FALSE)),"")</f>
        <v/>
      </c>
      <c r="AW30" s="111">
        <f>IF(AT30="","",AT30/((AT30*AP30)^2+(AT31*AP30-1)^2))</f>
        <v>10.173135057037696</v>
      </c>
      <c r="AX30" s="112">
        <f>IF(BA32=0,"",IF(OR(AX26="",AF30&lt;&gt;""),AF30*SQRT(AS32^2+AS33^2)/SQRT(AT32^2+AT33^2),AX26*SQRT(AS32^2+AS33^2)/SQRT(AT32^2+AT33^2)))</f>
        <v>98.580144559604591</v>
      </c>
      <c r="AY30" s="113">
        <f>IF(N(AY32)=10^30,10^30,IF(N(AY36)=10^30,(N(AY32)*(N(AY36)^2+N(AY37)^2)+N(AY36)*(N(AY32)^2+N(AY33)^2))/((N(AY32)+N(AY36))^2+(N(AY33)+N(AY37))^2),(N(AY32)*(N(AY34)^2+N(AY35)^2)+N(AY34)*(N(AY32)^2+N(AY33)^2))/((N(AY32)+N(AY34))^2+(N(AY33)+N(AY35))^2)))</f>
        <v>1E+30</v>
      </c>
      <c r="AZ30" s="52"/>
      <c r="BA30" s="114">
        <f>IF(AND(F30="",SUM(S30:S33)&lt;&gt;0),BA26,F30)</f>
        <v>1</v>
      </c>
      <c r="BB30" s="115">
        <f>IF(AND(BA30=3,S30&lt;&gt;""),1,0)</f>
        <v>0</v>
      </c>
      <c r="BC30" s="52"/>
      <c r="BD30" s="29" t="s">
        <v>111</v>
      </c>
      <c r="BE30" s="1"/>
      <c r="BF30" s="29"/>
      <c r="BH30" s="162">
        <f>IF(OR(E30="",F33="",AND(OR(P30="",Q30="",R30="",T30=""),OR(P31="",Q31="",R31="",T31=""),OR(P32="",Q32="",R32="",T32=""),OR(P33="",Q33="",R33="",T33="")),AND(OR(X30="",X32="",Y32="",Z32=""),OR(AB30="",AB32="",AC32="",AD32=""))),0,1)</f>
        <v>1</v>
      </c>
      <c r="BI30" s="162">
        <f>BH30+BI26</f>
        <v>4</v>
      </c>
      <c r="BJ30" s="4"/>
      <c r="BK30" s="4"/>
    </row>
    <row r="31" spans="2:63" ht="15" customHeight="1" x14ac:dyDescent="0.15">
      <c r="B31" s="158"/>
      <c r="C31" s="245"/>
      <c r="D31" s="432"/>
      <c r="E31" s="433"/>
      <c r="F31" s="434"/>
      <c r="G31" s="241"/>
      <c r="H31" s="435"/>
      <c r="I31" s="241"/>
      <c r="J31" s="435"/>
      <c r="K31" s="247"/>
      <c r="L31" s="436"/>
      <c r="M31" s="170" t="str">
        <f>IF(L30="発電機",SQRT(AV30^2+AV31^2),IF(L32="","",IF(OR(L30="油入自冷",L30="モ－ルド絶縁"),IF(BA30=1,SQRT(AN30^2+AN31^2),IF(BA30=3,SQRT(AN32^2+AN33^2))),SQRT(AO30^2+AO31^2))))</f>
        <v/>
      </c>
      <c r="N31" s="437"/>
      <c r="O31" s="171" t="s">
        <v>207</v>
      </c>
      <c r="P31" s="195">
        <v>3.488</v>
      </c>
      <c r="Q31" s="172">
        <v>1</v>
      </c>
      <c r="R31" s="173">
        <v>0.85302</v>
      </c>
      <c r="S31" s="174">
        <f t="shared" si="0"/>
        <v>4.0890014302126563</v>
      </c>
      <c r="T31" s="175">
        <v>1</v>
      </c>
      <c r="U31" s="176">
        <f>IF(OR(BA32="",S31=""),"",S31*1000*T31/(SQRT(BA30)*BA32))</f>
        <v>18.586370137330256</v>
      </c>
      <c r="V31" s="237"/>
      <c r="W31" s="221"/>
      <c r="X31" s="225"/>
      <c r="Y31" s="226"/>
      <c r="Z31" s="227"/>
      <c r="AA31" s="229"/>
      <c r="AB31" s="231"/>
      <c r="AC31" s="226"/>
      <c r="AD31" s="227"/>
      <c r="AE31" s="233"/>
      <c r="AF31" s="124" t="str">
        <f>IF(OR(AF30="",AG26&lt;&gt;""),"",AF30*AQ31/SQRT(AT30^2+AT31^2))</f>
        <v/>
      </c>
      <c r="AG31" s="205">
        <f>IF(AG30="","",100*AG30*AQ31/BA32)</f>
        <v>89.618313236004184</v>
      </c>
      <c r="AH31" s="206"/>
      <c r="AI31" s="207" t="str">
        <f>IF(BA32=0,"",IF(AI26="",AX32/SQRT(AT30^2+AT31^2),IF(AI34="","",IF(AT30&lt;0,-AX30*AQ27/SQRT(AT30^2+AT31^2),AX30*AQ27/SQRT(AT30^2+AT31^2)))))</f>
        <v/>
      </c>
      <c r="AJ31" s="203"/>
      <c r="AK31" s="204"/>
      <c r="AL31" s="125"/>
      <c r="AM31" s="59"/>
      <c r="AN31" s="107" t="b">
        <f>IF(BA30="","",IF(AND(BA30=1,F32=50,L30="油入自冷"),VLOOKUP(L32,変１,3,FALSE),IF(AND(BA30=1,F32=50,L30="モ－ルド絶縁"),VLOOKUP(L32,変１,8,FALSE),IF(AND(BA30=1,F32=60,L30="油入自冷"),VLOOKUP(L32,変１,13,FALSE),IF(AND(BA30=1,F32=60,L30="モ－ルド絶縁"),VLOOKUP(L32,変１,18,FALSE),FALSE)))))</f>
        <v>0</v>
      </c>
      <c r="AO31" s="107">
        <f>IF(ISNA(VLOOKUP(L32,変ＵＳＥＲ,3,FALSE)),0,VLOOKUP(L32,変ＵＳＥＲ,3,FALSE)*BA33/50)</f>
        <v>0</v>
      </c>
      <c r="AP31" s="108">
        <f>IF(W30="",0,W30*1000/BA32^2/SQRT(BA30))</f>
        <v>0</v>
      </c>
      <c r="AQ31" s="107">
        <f>IF(AND(BA30=1,BA31=2),1,IF(AND(BA30=3,BA31=3),1,IF(AND(BA30=1,BA31=3),2,IF(AND(BA30=3,BA31=4)*OR(BB30=1,BB31=1,BB32=1,BB33=1),1,SQRT(3)))))</f>
        <v>2</v>
      </c>
      <c r="AR31" s="109">
        <f>IF(X30="","",IF(X30="600V IV",VLOOKUP(X32,ＩＶ,3,FALSE),IF(X30="600V CV-T",VLOOKUP(X32,ＣＶＴ,3,FALSE),IF(OR(X30="600V CV-1C",X30="600V CV-2C",X30="600V CV-3C",X30="600V CV-4C"),VLOOKUP(X32,ＣＶ２３Ｃ,3,FALSE),VLOOKUP(X32,ＣＵＳＥＲ,3,FALSE)))))</f>
        <v>9.3899999999999997E-2</v>
      </c>
      <c r="AS31" s="107">
        <f>IF(AD33="",AP33,AP33+(AD33/1000))</f>
        <v>6.1772798132661899</v>
      </c>
      <c r="AT31" s="110">
        <f>IF(AU33="",AT33,AU33)</f>
        <v>6.19350573326619</v>
      </c>
      <c r="AU31" s="110" t="str">
        <f>IF(D30="","",IF(AND(D34="",D38&lt;&gt;"",AV33=AV41),AT39,IF(AND(D34="",D38="",D42&lt;&gt;"",AV37=AV45),AT43,IF(AND(D34="",D38="",D42="",D46&lt;&gt;"",AV41=AV49),AT47,IF(AND(D34="",D38="",D42="",D46="",D50&lt;&gt;"",AV45=AV53),AT51,IF(AND(D34="",D38="",D42="",D46="",D50="",D54&lt;&gt;"",AV49=AV57),AT55,IF(AND(D34="",D38="",D42="",D46="",D50="",D54="",D178&lt;&gt;"",AV53=AV181),AT179,"")))))))</f>
        <v/>
      </c>
      <c r="AV31" s="109" t="str">
        <f>IF(L30="発電機",IF(ISNA(VLOOKUP(L32,ＡＣＧ,3,FALSE)),0,VLOOKUP(L32,ＡＣＧ,3,FALSE)*BA33/50),"")</f>
        <v/>
      </c>
      <c r="AW31" s="111">
        <f>IF(AT31="","",(AT31-AP30*(AT30^2+AT31^2))/((AT30*AP30)^2+(AP30*AT31-1)^2))</f>
        <v>6.19350573326619</v>
      </c>
      <c r="AX31" s="112"/>
      <c r="AY31" s="113">
        <f>IF(N(AY33)=10^30,10^30,IF(N(AY37)=10^30,(N(AY33)*(N(AY36)^2+N(AY37)^2)+N(AY37)*(N(AY32)^2+N(AY33)^2))/((N(AY32)+N(AY36))^2+(N(AY33)+N(AY37))^2),(N(AY33)*(N(AY34)^2+N(AY35)^2)+N(AY35)*(N(AY32)^2+N(AY33)^2))/((N(AY32)+N(AY34))^2+(N(AY33)+N(AY35))^2)))</f>
        <v>1E+30</v>
      </c>
      <c r="AZ31" s="52"/>
      <c r="BA31" s="114">
        <f>IF(AND(H30="",SUM(S30:S33)&lt;&gt;0),BA27,H30)</f>
        <v>3</v>
      </c>
      <c r="BB31" s="115">
        <f>IF(AND(BA30=3,S31&lt;&gt;""),1,0)</f>
        <v>0</v>
      </c>
      <c r="BC31" s="52"/>
      <c r="BD31" s="29" t="s">
        <v>112</v>
      </c>
      <c r="BE31" s="1"/>
      <c r="BF31" s="29"/>
      <c r="BH31" s="162"/>
      <c r="BI31" s="162"/>
      <c r="BJ31" s="4"/>
      <c r="BK31" s="4"/>
    </row>
    <row r="32" spans="2:63" ht="15" customHeight="1" x14ac:dyDescent="0.15">
      <c r="B32" s="158"/>
      <c r="C32" s="245"/>
      <c r="D32" s="432"/>
      <c r="E32" s="433"/>
      <c r="F32" s="438"/>
      <c r="G32" s="438"/>
      <c r="H32" s="438"/>
      <c r="I32" s="438"/>
      <c r="J32" s="438"/>
      <c r="K32" s="439"/>
      <c r="L32" s="440"/>
      <c r="M32" s="441"/>
      <c r="N32" s="437"/>
      <c r="O32" s="171"/>
      <c r="P32" s="196"/>
      <c r="Q32" s="177"/>
      <c r="R32" s="173"/>
      <c r="S32" s="174" t="str">
        <f t="shared" si="0"/>
        <v/>
      </c>
      <c r="T32" s="175"/>
      <c r="U32" s="178" t="str">
        <f>IF(OR(BA32="",S32=""),"",S32*1000*T32/(SQRT(BA30)*BA32))</f>
        <v/>
      </c>
      <c r="V32" s="179">
        <f>IF(AND(N(U30)=0,N(U31)=0,N(U32)=0,N(U33)=0),"",V30*(P30*R30*T30+P31*R31*T31+P32*R32*T32+P33*R33*T33)/(P30*T30+P31*T31+P32*T32+P33*T33))</f>
        <v>10.096882748669724</v>
      </c>
      <c r="W32" s="209">
        <f>IF(AND(N(AP32)=0,N(AP33)=0,N(AP31)=0),"",IF(AP33&gt;=0,COS(ATAN(AP33/AP32)),-COS(ATAN(AP33/AP32))))</f>
        <v>0.85302</v>
      </c>
      <c r="X32" s="180">
        <v>38</v>
      </c>
      <c r="Y32" s="181">
        <v>1</v>
      </c>
      <c r="Z32" s="182">
        <v>72</v>
      </c>
      <c r="AA32" s="183"/>
      <c r="AB32" s="184"/>
      <c r="AC32" s="181"/>
      <c r="AD32" s="182"/>
      <c r="AE32" s="185"/>
      <c r="AF32" s="136" t="str">
        <f>IF(OR(AF30="",AG26&lt;&gt;""),"",BA32/SQRT(AW32^2+AW33^2))</f>
        <v/>
      </c>
      <c r="AG32" s="205">
        <f>IF(AG30="","",100*((BA32/AQ31)-AG30)/(BA32/AQ31))</f>
        <v>10.381686763995827</v>
      </c>
      <c r="AH32" s="206"/>
      <c r="AI32" s="208"/>
      <c r="AJ32" s="211" t="s">
        <v>223</v>
      </c>
      <c r="AK32" s="213" t="s">
        <v>224</v>
      </c>
      <c r="AL32" s="137"/>
      <c r="AM32" s="59"/>
      <c r="AN32" s="138" t="b">
        <f>IF(BA30="","",IF(AND(BA30=3,F32=50,L30="油入自冷"),VLOOKUP(L32,変３,2,FALSE),IF(AND(BA30=3,F32=50,L30="モ－ルド絶縁"),VLOOKUP(L32,変３,7,FALSE),IF(AND(BA30=3,F32=60,L30="油入自冷"),VLOOKUP(L32,変３,12,FALSE),IF(AND(BA30=3,F32=60,L30="モ－ルド絶縁"),VLOOKUP(L32,変３,17,FALSE),FALSE)))))</f>
        <v>0</v>
      </c>
      <c r="AO32" s="109" t="str">
        <f>IF(AND(L26="",N(AY30)&lt;10^29),AY30,"")</f>
        <v/>
      </c>
      <c r="AP32" s="139">
        <f>IF(V30="","",IF(AND(N(V32)=0,N(AP31)=0),"",AQ32/((AQ32*AP31)^2+(AP31*AQ33-1)^2)))</f>
        <v>10.096882748669724</v>
      </c>
      <c r="AQ32" s="107">
        <f>IF(N(V32)=0,10^30,V32)</f>
        <v>10.096882748669724</v>
      </c>
      <c r="AR32" s="109" t="str">
        <f>IF(AB30="","",IF(AB30="600V IV",VLOOKUP(AB32,ＩＶ,2,FALSE),IF(AB30="600V CV-T",VLOOKUP(AB32,ＣＶＴ,2,FALSE),IF(OR(AB30="600V CV-1C",AB30="600V CV-2C",AB30="600V CV-3C",AB30="600V CV-4C"),VLOOKUP(AB32,ＣＶ２３Ｃ,2,FALSE),VLOOKUP(AB32,ＣＵＳＥＲ,2,FALSE)))))</f>
        <v/>
      </c>
      <c r="AS32" s="107">
        <f>IF(OR(AND(AS34="",AS35=""),AND(D30="",D34&lt;&gt;"")),AS30,(AS30*(AT34^2+AT35^2)+AT34*(AS30^2+AS31^2))/((AS30+AT34)^2+(AS31+AT35)^2))</f>
        <v>10.096882748669724</v>
      </c>
      <c r="AT32" s="110">
        <f>IF(X33="",AS32,N(AS32)+(X33/1000))</f>
        <v>10.173135057037696</v>
      </c>
      <c r="AU32" s="110" t="str">
        <f>IF(AU30="","",(AT32*(AU30^2+AU31^2)+AU30*(AT32^2+AT33^2))/((AT32+AU30)^2+(AT33+AU31)^2))</f>
        <v/>
      </c>
      <c r="AV32" s="110">
        <f>IF(BA32=0,1,0)</f>
        <v>0</v>
      </c>
      <c r="AW32" s="111" t="str">
        <f>IF(AO32="","",AW30+AO32)</f>
        <v/>
      </c>
      <c r="AX32" s="112">
        <f>IF(AND(AX28="",AW32&lt;&gt;""),BA32*SQRT(AW30^2+AW31^2)/SQRT(AW32^2+AW33^2),IF(BA32&lt;&gt;0,AX28,""))</f>
        <v>217.0117568586613</v>
      </c>
      <c r="AY32" s="140">
        <f>IF(L32="",10^30,SQRT(BA30)*(BA32^2)*(N(AN30)+N(AN32)+N(AO30)+N(AV30))/(100000*L32*M30))</f>
        <v>1E+30</v>
      </c>
      <c r="AZ32" s="141"/>
      <c r="BA32" s="114">
        <f>IF(AND(J30="",SUM(S30:S33)&lt;&gt;0),BA28,J30)</f>
        <v>220</v>
      </c>
      <c r="BB32" s="115">
        <f>IF(AND(BA30=3,S32&lt;&gt;""),1,0)</f>
        <v>0</v>
      </c>
      <c r="BC32" s="52"/>
      <c r="BD32" s="29" t="s">
        <v>113</v>
      </c>
      <c r="BE32" s="1"/>
      <c r="BF32" s="29"/>
      <c r="BH32" s="162"/>
      <c r="BI32" s="162"/>
      <c r="BJ32" s="4"/>
      <c r="BK32" s="4"/>
    </row>
    <row r="33" spans="2:63" ht="15" customHeight="1" x14ac:dyDescent="0.15">
      <c r="B33" s="158"/>
      <c r="C33" s="245"/>
      <c r="D33" s="442"/>
      <c r="E33" s="443"/>
      <c r="F33" s="444">
        <v>40</v>
      </c>
      <c r="G33" s="444"/>
      <c r="H33" s="444"/>
      <c r="I33" s="444"/>
      <c r="J33" s="444"/>
      <c r="K33" s="445"/>
      <c r="L33" s="238" t="str">
        <f>IF(M30="","",L32*1000*M30/(SQRT(BA30)*BA32))</f>
        <v/>
      </c>
      <c r="M33" s="239"/>
      <c r="N33" s="446"/>
      <c r="O33" s="186"/>
      <c r="P33" s="197"/>
      <c r="Q33" s="187"/>
      <c r="R33" s="188"/>
      <c r="S33" s="189" t="str">
        <f t="shared" si="0"/>
        <v/>
      </c>
      <c r="T33" s="190"/>
      <c r="U33" s="191" t="str">
        <f>IF(OR(BA32="",S33=""),"",S33*1000*T33/(SQRT(BA30)*BA32))</f>
        <v/>
      </c>
      <c r="V33" s="192">
        <f>IF(AND(N(U30)=0,N(U31)=0,N(U32)=0,N(U33)=0),"",IF(V30&gt;=0,SQRT(ABS(V30^2-V32^2)),-SQRT(V30^2-V32^2)))</f>
        <v>6.1772798132661899</v>
      </c>
      <c r="W33" s="210"/>
      <c r="X33" s="215">
        <f>IF(Y32="","",AQ30*Z32*AR30*((1+0.00393*(F33-20))/1.2751)/Y32)</f>
        <v>76.252308367971153</v>
      </c>
      <c r="Y33" s="216"/>
      <c r="Z33" s="217">
        <f>IF(Y32="","",(BA33/50)*AQ30*Z32*AR31/Y32)</f>
        <v>16.225919999999999</v>
      </c>
      <c r="AA33" s="218"/>
      <c r="AB33" s="219" t="str">
        <f>IF(AC32="","",AQ30*AD32*AR32*((1+0.00393*(F33-20))/1.2751)/AC32)</f>
        <v/>
      </c>
      <c r="AC33" s="216"/>
      <c r="AD33" s="217" t="str">
        <f>IF(AC32="","",(BA33/50)*AQ30*AD32*AR33/AC32)</f>
        <v/>
      </c>
      <c r="AE33" s="242"/>
      <c r="AF33" s="150">
        <f>IF(AND(AX30&lt;&gt;"",D30=""),AX30,"")</f>
        <v>98.580144559604591</v>
      </c>
      <c r="AG33" s="243">
        <f>IF(AP32="","",AP32)</f>
        <v>10.096882748669724</v>
      </c>
      <c r="AH33" s="244"/>
      <c r="AI33" s="151">
        <f>IF(AP33="","",AP33)</f>
        <v>6.1772798132661899</v>
      </c>
      <c r="AJ33" s="212"/>
      <c r="AK33" s="214"/>
      <c r="AL33" s="152"/>
      <c r="AM33" s="59"/>
      <c r="AN33" s="153" t="b">
        <f>IF(BA30="","",IF(AND(BA30=3,F32=50,L30="油入自冷"),VLOOKUP(L32,変３,3,FALSE),IF(AND(BA30=3,F32=50,L30="モ－ルド絶縁"),VLOOKUP(L32,変３,8,FALSE),IF(AND(BA30=3,F32=60,L30="油入自冷"),VLOOKUP(L32,変３,13,FALSE),IF(AND(BA30=3,F32=60,L30="モ－ルド絶縁"),VLOOKUP(L32,変３,18,FALSE),FALSE)))))</f>
        <v>0</v>
      </c>
      <c r="AO33" s="153" t="str">
        <f>IF(AND(L26="",N(AY31)&lt;10^29),AY31,"")</f>
        <v/>
      </c>
      <c r="AP33" s="154">
        <f>IF(V30="","",IF(AND(N(V33)=0,N(AP31)=0),0,(AQ33-AP31*(AQ32^2+AQ33^2))/((AQ32*AP31)^2+(AP31*AQ33-1)^2)))</f>
        <v>6.1772798132661899</v>
      </c>
      <c r="AQ33" s="155">
        <f>IF(N(V33)=0,10^30,V33)</f>
        <v>6.1772798132661899</v>
      </c>
      <c r="AR33" s="153" t="str">
        <f>IF(AB30="","",IF(AB30="600V IV",VLOOKUP(AB32,ＩＶ,3,FALSE),IF(AB30="600V CV-T",VLOOKUP(AB32,ＣＶＴ,3,FALSE),IF(OR(AB30="600V CV-1C",AB30="600V CV-2C",AB30="600V CV-3C",AB30="600V CV-4C"),VLOOKUP(AB32,ＣＶ２３Ｃ,3,FALSE),VLOOKUP(AB32,ＣＵＳＥＲ,3,FALSE)))))</f>
        <v/>
      </c>
      <c r="AS33" s="155">
        <f>IF(OR(AND(AS34="",AS35=""),AND(D30="",D34&lt;&gt;"")),AS31,(AS31*(AT34^2+AT35^2)+AT35*(AS30^2+AS31^2))/((AS30+AT34)^2+(AS31+AT35)^2))</f>
        <v>6.1772798132661899</v>
      </c>
      <c r="AT33" s="156">
        <f>IF(Z33="",AS33,N(AS33)+(Z33/1000))</f>
        <v>6.19350573326619</v>
      </c>
      <c r="AU33" s="156" t="str">
        <f>IF(AU31="","",(AT33*(AU30^2+AU31^2)+AU31*(AT32^2+AT33^2))/((AT32+AU30)^2+(AT33+AU31)^2))</f>
        <v/>
      </c>
      <c r="AV33" s="156">
        <f>AV29+AV32</f>
        <v>1</v>
      </c>
      <c r="AW33" s="155" t="str">
        <f>IF(AO33="","",AW31+AO33)</f>
        <v/>
      </c>
      <c r="AX33" s="157"/>
      <c r="AY33" s="140">
        <f>IF(L32="",10^30,SQRT(BA30)*(BA32^2)*(N(AN31)+N(AN33)+N(AO31)+N(AV31))/(100000*L32*M30))</f>
        <v>1E+30</v>
      </c>
      <c r="AZ33" s="141"/>
      <c r="BA33" s="114">
        <f>IF(AND(F32="",SUM(S30:S33)&lt;&gt;0),BA29,F32)</f>
        <v>60</v>
      </c>
      <c r="BB33" s="115">
        <f>IF(AND(BA30=3,S33&lt;&gt;""),1,0)</f>
        <v>0</v>
      </c>
      <c r="BC33" s="52"/>
      <c r="BD33" s="29" t="s">
        <v>114</v>
      </c>
      <c r="BE33" s="1"/>
      <c r="BF33" s="29"/>
      <c r="BH33" s="162"/>
      <c r="BI33" s="162"/>
      <c r="BJ33" s="4"/>
      <c r="BK33" s="4"/>
    </row>
    <row r="34" spans="2:63" ht="15" customHeight="1" x14ac:dyDescent="0.15">
      <c r="B34" s="158"/>
      <c r="C34" s="245" t="str">
        <f>IF(BH34=1,"●","・")</f>
        <v>・</v>
      </c>
      <c r="D34" s="425"/>
      <c r="E34" s="447"/>
      <c r="F34" s="427"/>
      <c r="G34" s="240" t="str">
        <f>IF(F34="","","φ")</f>
        <v/>
      </c>
      <c r="H34" s="428"/>
      <c r="I34" s="240" t="str">
        <f>IF(H34="","","W")</f>
        <v/>
      </c>
      <c r="J34" s="428"/>
      <c r="K34" s="246" t="str">
        <f>IF(J34="","","V")</f>
        <v/>
      </c>
      <c r="L34" s="429"/>
      <c r="M34" s="430"/>
      <c r="N34" s="431"/>
      <c r="O34" s="164"/>
      <c r="P34" s="194"/>
      <c r="Q34" s="165"/>
      <c r="R34" s="166"/>
      <c r="S34" s="167" t="str">
        <f>IF(R34="","",IF(Q34="",P34/R34,P34/(Q34*R34)))</f>
        <v/>
      </c>
      <c r="T34" s="168"/>
      <c r="U34" s="169" t="str">
        <f>IF(OR(BA36="",S34=""),"",S34*1000*T34/(SQRT(BA34)*BA36))</f>
        <v/>
      </c>
      <c r="V34" s="236" t="str">
        <f>IF(AND(N(U34)=0,N(U35)=0,N(U36)=0,N(U37)=0),"",BA36/(SUM(U34:U37)))</f>
        <v/>
      </c>
      <c r="W34" s="220"/>
      <c r="X34" s="222"/>
      <c r="Y34" s="223"/>
      <c r="Z34" s="224"/>
      <c r="AA34" s="228"/>
      <c r="AB34" s="230"/>
      <c r="AC34" s="223"/>
      <c r="AD34" s="224"/>
      <c r="AE34" s="232"/>
      <c r="AF34" s="104" t="str">
        <f>IF(OR(AND(AF30="",N(BA32)=0,BA36&lt;&gt;0),D34&lt;&gt;""),AX36/AQ35,"")</f>
        <v/>
      </c>
      <c r="AG34" s="234" t="str">
        <f>IF(BA36=0,"",IF(AD36="",AX34,IF(AND(D34&lt;&gt;"",AU34=""),AX36*SQRT(AP36^2+AP37^2)/SQRT(AS34^2+AS35^2)/AQ35,AX34*SQRT(AP36^2+AP37^2)/SQRT(AS34^2+AS35^2))))</f>
        <v/>
      </c>
      <c r="AH34" s="235"/>
      <c r="AI34" s="105" t="str">
        <f>IF(AG34="","",IF(N(U34)&lt;0,-AX34*AQ35/SQRT(AS34^2+AS35^2),AX34*AQ35/SQRT(AS34^2+AS35^2)))</f>
        <v/>
      </c>
      <c r="AJ34" s="201"/>
      <c r="AK34" s="202"/>
      <c r="AL34" s="106"/>
      <c r="AM34" s="59"/>
      <c r="AN34" s="107" t="b">
        <f>IF(BA34="","",IF(AND(BA34=1,F36=50,L34="油入自冷"),VLOOKUP(L36,変１,2,FALSE),IF(AND(BA34=1,F36=50,L34="モ－ルド絶縁"),VLOOKUP(L36,変１,7,FALSE),IF(AND(BA34=1,F36=60,L34="油入自冷"),VLOOKUP(L36,変１,12,FALSE),IF(AND(BA34=1,F36=60,L34="モ－ルド絶縁"),VLOOKUP(L36,変１,17,FALSE),FALSE)))))</f>
        <v>0</v>
      </c>
      <c r="AO34" s="107">
        <f>IF(ISNA(VLOOKUP(L36,変ＵＳＥＲ,2,FALSE)),0,VLOOKUP(L36,変ＵＳＥＲ,2,FALSE))</f>
        <v>0</v>
      </c>
      <c r="AP34" s="108">
        <f>IF(N34="",0,N34*1000/BA36^2/SQRT(BA34))</f>
        <v>0</v>
      </c>
      <c r="AQ34" s="107" t="b">
        <f>IF(BA34=1,2,IF(BA34=3,SQRT(3),FALSE))</f>
        <v>0</v>
      </c>
      <c r="AR34" s="109" t="str">
        <f>IF(X34="","",IF(X34="600V IV",VLOOKUP(X36,ＩＶ,2,FALSE),IF(X34="600V CV-T",VLOOKUP(X36,ＣＶＴ,2,FALSE),IF(OR(X34="600V CV-1C",X34="600V CV-2C",X34="600V CV-3C",X34="600V CV-4C"),VLOOKUP(X36,ＣＶ２３Ｃ,2,FALSE),VLOOKUP(X36,ＣＵＳＥＲ,2,FALSE)))))</f>
        <v/>
      </c>
      <c r="AS34" s="107" t="str">
        <f>IF(AB37="",AP36,AP36+(AB37/1000))</f>
        <v/>
      </c>
      <c r="AT34" s="110" t="str">
        <f>IF(AU36="",AT36,AU36)</f>
        <v/>
      </c>
      <c r="AU34" s="110" t="str">
        <f>IF(D34="","",IF(AND(D38="",D42&lt;&gt;"",AV37=AV45),AT42,IF(AND(D38="",D42="",D46&lt;&gt;"",AV41=AV49),AT46,IF(AND(D38="",D42="",D46="",D50&lt;&gt;"",AV45=AV53),AT50,IF(AND(D38="",D42="",D46="",D50="",D54&lt;&gt;"",AV49=AV57),AT54,IF(AND(D38="",D42="",D46="",D50="",D54="",D178&lt;&gt;"",AV53=AV181),AT178,IF(AND(D38="",D42="",D46="",D50="",D54="",D178="",D182&lt;&gt;"",AV57=AV185),AT182,"")))))))</f>
        <v/>
      </c>
      <c r="AV34" s="110" t="str">
        <f>IF(L34="発電機",IF(ISNA(VLOOKUP(L36,ＡＣＧ,2,FALSE)),0,VLOOKUP(L36,ＡＣＧ,2,FALSE)),"")</f>
        <v/>
      </c>
      <c r="AW34" s="111" t="str">
        <f>IF(AT34="","",AT34/((AT34*AP34)^2+(AT35*AP34-1)^2))</f>
        <v/>
      </c>
      <c r="AX34" s="112" t="str">
        <f>IF(BA36=0,"",IF(OR(AX30="",AF34&lt;&gt;""),AF34*SQRT(AS36^2+AS37^2)/SQRT(AT36^2+AT37^2),AX30*SQRT(AS36^2+AS37^2)/SQRT(AT36^2+AT37^2)))</f>
        <v/>
      </c>
      <c r="AY34" s="113">
        <f>IF(N(AY36)=10^30,10^30,IF(N(AY40)=10^30,(N(AY36)*(N(AY40)^2+N(AY41)^2)+N(AY40)*(N(AY36)^2+N(AY37)^2))/((N(AY36)+N(AY40))^2+(N(AY37)+N(AY41))^2),(N(AY36)*(N(AY38)^2+N(AY39)^2)+N(AY38)*(N(AY36)^2+N(AY37)^2))/((N(AY36)+N(AY38))^2+(N(AY37)+N(AY39))^2)))</f>
        <v>1E+30</v>
      </c>
      <c r="AZ34" s="52"/>
      <c r="BA34" s="114">
        <f>IF(AND(F34="",SUM(S34:S37)&lt;&gt;0),BA30,F34)</f>
        <v>0</v>
      </c>
      <c r="BB34" s="115">
        <f>IF(AND(BA34=3,S34&lt;&gt;""),1,0)</f>
        <v>0</v>
      </c>
      <c r="BC34" s="52"/>
      <c r="BD34" s="29" t="s">
        <v>115</v>
      </c>
      <c r="BE34" s="1"/>
      <c r="BF34" s="29"/>
      <c r="BH34" s="162">
        <f>IF(OR(E34="",F37="",AND(OR(P34="",Q34="",R34="",T34=""),OR(P35="",Q35="",R35="",T35=""),OR(P36="",Q36="",R36="",T36=""),OR(P37="",Q37="",R37="",T37="")),AND(OR(X34="",X36="",Y36="",Z36=""),OR(AB34="",AB36="",AC36="",AD36=""))),0,1)</f>
        <v>0</v>
      </c>
      <c r="BI34" s="162">
        <f>BH34+BI30</f>
        <v>4</v>
      </c>
      <c r="BJ34" s="4"/>
      <c r="BK34" s="4"/>
    </row>
    <row r="35" spans="2:63" ht="15" customHeight="1" x14ac:dyDescent="0.15">
      <c r="B35" s="158"/>
      <c r="C35" s="245"/>
      <c r="D35" s="432"/>
      <c r="E35" s="448"/>
      <c r="F35" s="434"/>
      <c r="G35" s="241"/>
      <c r="H35" s="435"/>
      <c r="I35" s="241"/>
      <c r="J35" s="435"/>
      <c r="K35" s="247"/>
      <c r="L35" s="436"/>
      <c r="M35" s="170" t="str">
        <f>IF(L34="発電機",SQRT(AV34^2+AV35^2),IF(L36="","",IF(OR(L34="油入自冷",L34="モ－ルド絶縁"),IF(BA34=1,SQRT(AN34^2+AN35^2),IF(BA34=3,SQRT(AN36^2+AN37^2))),SQRT(AO34^2+AO35^2))))</f>
        <v/>
      </c>
      <c r="N35" s="437"/>
      <c r="O35" s="171"/>
      <c r="P35" s="195"/>
      <c r="Q35" s="172"/>
      <c r="R35" s="173"/>
      <c r="S35" s="174" t="str">
        <f t="shared" si="0"/>
        <v/>
      </c>
      <c r="T35" s="175"/>
      <c r="U35" s="176" t="str">
        <f>IF(OR(BA36="",S35=""),"",S35*1000*T35/(SQRT(BA34)*BA36))</f>
        <v/>
      </c>
      <c r="V35" s="237"/>
      <c r="W35" s="221"/>
      <c r="X35" s="225"/>
      <c r="Y35" s="226"/>
      <c r="Z35" s="227"/>
      <c r="AA35" s="229"/>
      <c r="AB35" s="231"/>
      <c r="AC35" s="226"/>
      <c r="AD35" s="227"/>
      <c r="AE35" s="233"/>
      <c r="AF35" s="124" t="str">
        <f>IF(OR(AF34="",AG30&lt;&gt;""),"",AF34*AQ35/SQRT(AT34^2+AT35^2))</f>
        <v/>
      </c>
      <c r="AG35" s="205" t="str">
        <f>IF(AG34="","",100*AG34*AQ35/BA36)</f>
        <v/>
      </c>
      <c r="AH35" s="206"/>
      <c r="AI35" s="207" t="str">
        <f>IF(BA36=0,"",IF(AI30="",AX36/SQRT(AT34^2+AT35^2),IF(AI38="","",IF(AT34&lt;0,-AX34*AQ31/SQRT(AT34^2+AT35^2),AX34*AQ31/SQRT(AT34^2+AT35^2)))))</f>
        <v/>
      </c>
      <c r="AJ35" s="203"/>
      <c r="AK35" s="204"/>
      <c r="AL35" s="125"/>
      <c r="AM35" s="59"/>
      <c r="AN35" s="107" t="b">
        <f>IF(BA34="","",IF(AND(BA34=1,F36=50,L34="油入自冷"),VLOOKUP(L36,変１,3,FALSE),IF(AND(BA34=1,F36=50,L34="モ－ルド絶縁"),VLOOKUP(L36,変１,8,FALSE),IF(AND(BA34=1,F36=60,L34="油入自冷"),VLOOKUP(L36,変１,13,FALSE),IF(AND(BA34=1,F36=60,L34="モ－ルド絶縁"),VLOOKUP(L36,変１,18,FALSE),FALSE)))))</f>
        <v>0</v>
      </c>
      <c r="AO35" s="107">
        <f>IF(ISNA(VLOOKUP(L36,変ＵＳＥＲ,3,FALSE)),0,VLOOKUP(L36,変ＵＳＥＲ,3,FALSE)*BA37/50)</f>
        <v>0</v>
      </c>
      <c r="AP35" s="108">
        <f>IF(W34="",0,W34*1000/BA36^2/SQRT(BA34))</f>
        <v>0</v>
      </c>
      <c r="AQ35" s="107">
        <f>IF(AND(BA34=1,BA35=2),1,IF(AND(BA34=3,BA35=3),1,IF(AND(BA34=1,BA35=3),2,IF(AND(BA34=3,BA35=4)*OR(BB34=1,BB35=1,BB36=1,BB37=1),1,SQRT(3)))))</f>
        <v>1.7320508075688772</v>
      </c>
      <c r="AR35" s="109" t="str">
        <f>IF(X34="","",IF(X34="600V IV",VLOOKUP(X36,ＩＶ,3,FALSE),IF(X34="600V CV-T",VLOOKUP(X36,ＣＶＴ,3,FALSE),IF(OR(X34="600V CV-1C",X34="600V CV-2C",X34="600V CV-3C",X34="600V CV-4C"),VLOOKUP(X36,ＣＶ２３Ｃ,3,FALSE),VLOOKUP(X36,ＣＵＳＥＲ,3,FALSE)))))</f>
        <v/>
      </c>
      <c r="AS35" s="107" t="str">
        <f>IF(AD37="",AP37,AP37+(AD37/1000))</f>
        <v/>
      </c>
      <c r="AT35" s="110" t="str">
        <f>IF(AU37="",AT37,AU37)</f>
        <v/>
      </c>
      <c r="AU35" s="110" t="str">
        <f>IF(D34="","",IF(AND(D38="",D42&lt;&gt;"",AV37=AV45),AT43,IF(AND(D38="",D42="",D46&lt;&gt;"",AV41=AV49),AT47,IF(AND(D38="",D42="",D46="",D50&lt;&gt;"",AV45=AV53),AT51,IF(AND(D38="",D42="",D46="",D50="",D54&lt;&gt;"",AV49=AV57),AT55,IF(AND(D38="",D42="",D46="",D50="",D54="",D178&lt;&gt;"",AV53=AV181),AT179,IF(AND(D38="",D42="",D46="",D50="",D54="",D178="",D182&lt;&gt;"",AV57=AV185),AT183,"")))))))</f>
        <v/>
      </c>
      <c r="AV35" s="109" t="str">
        <f>IF(L34="発電機",IF(ISNA(VLOOKUP(L36,ＡＣＧ,3,FALSE)),0,VLOOKUP(L36,ＡＣＧ,3,FALSE)*BA37/50),"")</f>
        <v/>
      </c>
      <c r="AW35" s="111" t="str">
        <f>IF(AT35="","",(AT35-AP34*(AT34^2+AT35^2))/((AT34*AP34)^2+(AP34*AT35-1)^2))</f>
        <v/>
      </c>
      <c r="AX35" s="112"/>
      <c r="AY35" s="113">
        <f>IF(N(AY37)=10^30,10^30,IF(N(AY41)=10^30,(N(AY37)*(N(AY40)^2+N(AY41)^2)+N(AY41)*(N(AY36)^2+N(AY37)^2))/((N(AY36)+N(AY40))^2+(N(AY37)+N(AY41))^2),(N(AY37)*(N(AY38)^2+N(AY39)^2)+N(AY39)*(N(AY36)^2+N(AY37)^2))/((N(AY36)+N(AY38))^2+(N(AY37)+N(AY39))^2)))</f>
        <v>1E+30</v>
      </c>
      <c r="AZ35" s="52"/>
      <c r="BA35" s="114">
        <f>IF(AND(H34="",SUM(S34:S37)&lt;&gt;0),BA31,H34)</f>
        <v>0</v>
      </c>
      <c r="BB35" s="115">
        <f>IF(AND(BA34=3,S35&lt;&gt;""),1,0)</f>
        <v>0</v>
      </c>
      <c r="BC35" s="52"/>
      <c r="BD35" s="29" t="s">
        <v>116</v>
      </c>
      <c r="BE35" s="1"/>
      <c r="BF35" s="30"/>
      <c r="BH35" s="162"/>
      <c r="BI35" s="162"/>
      <c r="BJ35" s="4"/>
      <c r="BK35" s="4"/>
    </row>
    <row r="36" spans="2:63" ht="15" customHeight="1" x14ac:dyDescent="0.15">
      <c r="B36" s="158"/>
      <c r="C36" s="245"/>
      <c r="D36" s="432"/>
      <c r="E36" s="448"/>
      <c r="F36" s="438"/>
      <c r="G36" s="438"/>
      <c r="H36" s="438"/>
      <c r="I36" s="438"/>
      <c r="J36" s="438"/>
      <c r="K36" s="439"/>
      <c r="L36" s="440"/>
      <c r="M36" s="441"/>
      <c r="N36" s="437"/>
      <c r="O36" s="171"/>
      <c r="P36" s="196"/>
      <c r="Q36" s="177"/>
      <c r="R36" s="173"/>
      <c r="S36" s="174" t="str">
        <f t="shared" si="0"/>
        <v/>
      </c>
      <c r="T36" s="175"/>
      <c r="U36" s="178" t="str">
        <f>IF(OR(BA36="",S36=""),"",S36*1000*T36/(SQRT(BA34)*BA36))</f>
        <v/>
      </c>
      <c r="V36" s="179" t="str">
        <f>IF(AND(N(U34)=0,N(U35)=0,N(U36)=0,N(U37)=0),"",V34*(P34*R34*T34+P35*R35*T35+P36*R36*T36+P37*R37*T37)/(P34*T34+P35*T35+P36*T36+P37*T37))</f>
        <v/>
      </c>
      <c r="W36" s="209" t="str">
        <f>IF(AND(N(AP36)=0,N(AP37)=0,N(AP35)=0),"",IF(AP37&gt;=0,COS(ATAN(AP37/AP36)),-COS(ATAN(AP37/AP36))))</f>
        <v/>
      </c>
      <c r="X36" s="180"/>
      <c r="Y36" s="181"/>
      <c r="Z36" s="182"/>
      <c r="AA36" s="183"/>
      <c r="AB36" s="184"/>
      <c r="AC36" s="181"/>
      <c r="AD36" s="182"/>
      <c r="AE36" s="185"/>
      <c r="AF36" s="136" t="str">
        <f>IF(OR(AF34="",AG30&lt;&gt;""),"",BA36/SQRT(AW36^2+AW37^2))</f>
        <v/>
      </c>
      <c r="AG36" s="205" t="str">
        <f>IF(AG34="","",100*((BA36/AQ35)-AG34)/(BA36/AQ35))</f>
        <v/>
      </c>
      <c r="AH36" s="206"/>
      <c r="AI36" s="208"/>
      <c r="AJ36" s="211"/>
      <c r="AK36" s="213"/>
      <c r="AL36" s="137"/>
      <c r="AM36" s="59"/>
      <c r="AN36" s="138" t="b">
        <f>IF(BA34="","",IF(AND(BA34=3,F36=50,L34="油入自冷"),VLOOKUP(L36,変３,2,FALSE),IF(AND(BA34=3,F36=50,L34="モ－ルド絶縁"),VLOOKUP(L36,変３,7,FALSE),IF(AND(BA34=3,F36=60,L34="油入自冷"),VLOOKUP(L36,変３,12,FALSE),IF(AND(BA34=3,F36=60,L34="モ－ルド絶縁"),VLOOKUP(L36,変３,17,FALSE),FALSE)))))</f>
        <v>0</v>
      </c>
      <c r="AO36" s="109" t="str">
        <f>IF(AND(L30="",N(AY34)&lt;10^29),AY34,"")</f>
        <v/>
      </c>
      <c r="AP36" s="139" t="str">
        <f>IF(V34="","",IF(AND(N(V36)=0,N(AP35)=0),"",AQ36/((AQ36*AP35)^2+(AP35*AQ37-1)^2)))</f>
        <v/>
      </c>
      <c r="AQ36" s="107">
        <f>IF(N(V36)=0,10^30,V36)</f>
        <v>1E+30</v>
      </c>
      <c r="AR36" s="109" t="str">
        <f>IF(AB34="","",IF(AB34="600V IV",VLOOKUP(AB36,ＩＶ,2,FALSE),IF(AB34="600V CV-T",VLOOKUP(AB36,ＣＶＴ,2,FALSE),IF(OR(AB34="600V CV-1C",AB34="600V CV-2C",AB34="600V CV-3C",AB34="600V CV-4C"),VLOOKUP(AB36,ＣＶ２３Ｃ,2,FALSE),VLOOKUP(AB36,ＣＵＳＥＲ,2,FALSE)))))</f>
        <v/>
      </c>
      <c r="AS36" s="107" t="str">
        <f>IF(OR(AND(AS38="",AS39=""),AND(D34="",D38&lt;&gt;"")),AS34,(AS34*(AT38^2+AT39^2)+AT38*(AS34^2+AS35^2))/((AS34+AT38)^2+(AS35+AT39)^2))</f>
        <v/>
      </c>
      <c r="AT36" s="110" t="str">
        <f>IF(X37="",AS36,N(AS36)+(X37/1000))</f>
        <v/>
      </c>
      <c r="AU36" s="110" t="str">
        <f>IF(AU34="","",(AT36*(AU34^2+AU35^2)+AU34*(AT36^2+AT37^2))/((AT36+AU34)^2+(AT37+AU35)^2))</f>
        <v/>
      </c>
      <c r="AV36" s="110">
        <f>IF(BA36=0,1,0)</f>
        <v>1</v>
      </c>
      <c r="AW36" s="111" t="str">
        <f>IF(AO36="","",AW34+AO36)</f>
        <v/>
      </c>
      <c r="AX36" s="112" t="str">
        <f>IF(AND(AX32="",AW36&lt;&gt;""),BA36*SQRT(AW34^2+AW35^2)/SQRT(AW36^2+AW37^2),IF(BA36&lt;&gt;0,AX32,""))</f>
        <v/>
      </c>
      <c r="AY36" s="140">
        <f>IF(L36="",10^30,SQRT(BA34)*(BA36^2)*(N(AN34)+N(AN36)+N(AO34)+N(AV34))/(100000*L36*M34))</f>
        <v>1E+30</v>
      </c>
      <c r="AZ36" s="141"/>
      <c r="BA36" s="114">
        <f>IF(AND(J34="",SUM(S34:S37)&lt;&gt;0),BA32,J34)</f>
        <v>0</v>
      </c>
      <c r="BB36" s="115">
        <f>IF(AND(BA34=3,S36&lt;&gt;""),1,0)</f>
        <v>0</v>
      </c>
      <c r="BC36" s="52"/>
      <c r="BD36" s="29" t="s">
        <v>117</v>
      </c>
      <c r="BE36" s="1"/>
      <c r="BF36" s="27" t="s">
        <v>132</v>
      </c>
      <c r="BH36" s="162"/>
      <c r="BI36" s="162"/>
      <c r="BJ36" s="4"/>
      <c r="BK36" s="4"/>
    </row>
    <row r="37" spans="2:63" ht="15" customHeight="1" x14ac:dyDescent="0.15">
      <c r="B37" s="158"/>
      <c r="C37" s="245"/>
      <c r="D37" s="442"/>
      <c r="E37" s="449"/>
      <c r="F37" s="444"/>
      <c r="G37" s="444"/>
      <c r="H37" s="444"/>
      <c r="I37" s="444"/>
      <c r="J37" s="444"/>
      <c r="K37" s="445"/>
      <c r="L37" s="238" t="str">
        <f>IF(M34="","",L36*1000*M34/(SQRT(BA34)*BA36))</f>
        <v/>
      </c>
      <c r="M37" s="239"/>
      <c r="N37" s="446"/>
      <c r="O37" s="186"/>
      <c r="P37" s="197"/>
      <c r="Q37" s="187"/>
      <c r="R37" s="188"/>
      <c r="S37" s="189" t="str">
        <f t="shared" si="0"/>
        <v/>
      </c>
      <c r="T37" s="190"/>
      <c r="U37" s="191" t="str">
        <f>IF(OR(BA36="",S37=""),"",S37*1000*T37/(SQRT(BA34)*BA36))</f>
        <v/>
      </c>
      <c r="V37" s="192" t="str">
        <f>IF(AND(N(U34)=0,N(U35)=0,N(U36)=0,N(U37)=0),"",IF(V34&gt;=0,SQRT(ABS(V34^2-V36^2)),-SQRT(V34^2-V36^2)))</f>
        <v/>
      </c>
      <c r="W37" s="210"/>
      <c r="X37" s="215" t="str">
        <f>IF(Y36="","",AQ34*Z36*AR34*((1+0.00393*(F37-20))/1.2751)/Y36)</f>
        <v/>
      </c>
      <c r="Y37" s="216"/>
      <c r="Z37" s="217" t="str">
        <f>IF(Y36="","",(BA37/50)*AQ34*Z36*AR35/Y36)</f>
        <v/>
      </c>
      <c r="AA37" s="218"/>
      <c r="AB37" s="219" t="str">
        <f>IF(AC36="","",AQ34*AD36*AR36*((1+0.00393*(F37-20))/1.2751)/AC36)</f>
        <v/>
      </c>
      <c r="AC37" s="216"/>
      <c r="AD37" s="217" t="str">
        <f>IF(AC36="","",(BA37/50)*AQ34*AD36*AR37/AC36)</f>
        <v/>
      </c>
      <c r="AE37" s="242"/>
      <c r="AF37" s="150" t="str">
        <f>IF(AND(AX34&lt;&gt;"",D34=""),AX34,"")</f>
        <v/>
      </c>
      <c r="AG37" s="243" t="str">
        <f>IF(AP36="","",AP36)</f>
        <v/>
      </c>
      <c r="AH37" s="244"/>
      <c r="AI37" s="151" t="str">
        <f>IF(AP37="","",AP37)</f>
        <v/>
      </c>
      <c r="AJ37" s="212"/>
      <c r="AK37" s="214"/>
      <c r="AL37" s="152"/>
      <c r="AM37" s="59"/>
      <c r="AN37" s="153" t="b">
        <f>IF(BA34="","",IF(AND(BA34=3,F36=50,L34="油入自冷"),VLOOKUP(L36,変３,3,FALSE),IF(AND(BA34=3,F36=50,L34="モ－ルド絶縁"),VLOOKUP(L36,変３,8,FALSE),IF(AND(BA34=3,F36=60,L34="油入自冷"),VLOOKUP(L36,変３,13,FALSE),IF(AND(BA34=3,F36=60,L34="モ－ルド絶縁"),VLOOKUP(L36,変３,18,FALSE),FALSE)))))</f>
        <v>0</v>
      </c>
      <c r="AO37" s="153" t="str">
        <f>IF(AND(L30="",N(AY35)&lt;10^29),AY35,"")</f>
        <v/>
      </c>
      <c r="AP37" s="154" t="str">
        <f>IF(V34="","",IF(AND(N(V37)=0,N(AP35)=0),0,(AQ37-AP35*(AQ36^2+AQ37^2))/((AQ36*AP35)^2+(AP35*AQ37-1)^2)))</f>
        <v/>
      </c>
      <c r="AQ37" s="155">
        <f>IF(N(V37)=0,10^30,V37)</f>
        <v>1E+30</v>
      </c>
      <c r="AR37" s="153" t="str">
        <f>IF(AB34="","",IF(AB34="600V IV",VLOOKUP(AB36,ＩＶ,3,FALSE),IF(AB34="600V CV-T",VLOOKUP(AB36,ＣＶＴ,3,FALSE),IF(OR(AB34="600V CV-1C",AB34="600V CV-2C",AB34="600V CV-3C",AB34="600V CV-4C"),VLOOKUP(AB36,ＣＶ２３Ｃ,3,FALSE),VLOOKUP(AB36,ＣＵＳＥＲ,3,FALSE)))))</f>
        <v/>
      </c>
      <c r="AS37" s="155" t="str">
        <f>IF(OR(AND(AS38="",AS39=""),AND(D34="",D38&lt;&gt;"")),AS35,(AS35*(AT38^2+AT39^2)+AT39*(AS34^2+AS35^2))/((AS34+AT38)^2+(AS35+AT39)^2))</f>
        <v/>
      </c>
      <c r="AT37" s="156" t="str">
        <f>IF(Z37="",AS37,N(AS37)+(Z37/1000))</f>
        <v/>
      </c>
      <c r="AU37" s="156" t="str">
        <f>IF(AU35="","",(AT37*(AU34^2+AU35^2)+AU35*(AT36^2+AT37^2))/((AT36+AU34)^2+(AT37+AU35)^2))</f>
        <v/>
      </c>
      <c r="AV37" s="156">
        <f>AV33+AV36</f>
        <v>2</v>
      </c>
      <c r="AW37" s="155" t="str">
        <f>IF(AO37="","",AW35+AO37)</f>
        <v/>
      </c>
      <c r="AX37" s="157"/>
      <c r="AY37" s="140">
        <f>IF(L36="",10^30,SQRT(BA34)*(BA36^2)*(N(AN35)+N(AN37)+N(AO35)+N(AV35))/(100000*L36*M34))</f>
        <v>1E+30</v>
      </c>
      <c r="AZ37" s="141"/>
      <c r="BA37" s="114">
        <f>IF(AND(F36="",SUM(S34:S37)&lt;&gt;0),BA33,F36)</f>
        <v>0</v>
      </c>
      <c r="BB37" s="115">
        <f>IF(AND(BA34=3,S37&lt;&gt;""),1,0)</f>
        <v>0</v>
      </c>
      <c r="BC37" s="52"/>
      <c r="BD37" s="29" t="s">
        <v>118</v>
      </c>
      <c r="BE37" s="1"/>
      <c r="BF37" s="28" t="s">
        <v>133</v>
      </c>
      <c r="BH37" s="162"/>
      <c r="BI37" s="162"/>
      <c r="BJ37" s="4"/>
      <c r="BK37" s="4"/>
    </row>
    <row r="38" spans="2:63" ht="15" customHeight="1" x14ac:dyDescent="0.15">
      <c r="B38" s="158"/>
      <c r="C38" s="245" t="str">
        <f>IF(BH38=1,"●","・")</f>
        <v>・</v>
      </c>
      <c r="D38" s="425"/>
      <c r="E38" s="447"/>
      <c r="F38" s="427"/>
      <c r="G38" s="240" t="str">
        <f>IF(F38="","","φ")</f>
        <v/>
      </c>
      <c r="H38" s="428"/>
      <c r="I38" s="240" t="str">
        <f>IF(H38="","","W")</f>
        <v/>
      </c>
      <c r="J38" s="428"/>
      <c r="K38" s="246" t="str">
        <f>IF(J38="","","V")</f>
        <v/>
      </c>
      <c r="L38" s="429"/>
      <c r="M38" s="430"/>
      <c r="N38" s="431"/>
      <c r="O38" s="164"/>
      <c r="P38" s="194"/>
      <c r="Q38" s="165"/>
      <c r="R38" s="166"/>
      <c r="S38" s="167" t="str">
        <f>IF(R38="","",IF(Q38="",P38/R38,P38/(Q38*R38)))</f>
        <v/>
      </c>
      <c r="T38" s="168"/>
      <c r="U38" s="169" t="str">
        <f>IF(OR(BA40="",S38=""),"",S38*1000*T38/(SQRT(BA38)*BA40))</f>
        <v/>
      </c>
      <c r="V38" s="236" t="str">
        <f>IF(AND(N(U38)=0,N(U39)=0,N(U40)=0,N(U41)=0),"",BA40/(SUM(U38:U41)))</f>
        <v/>
      </c>
      <c r="W38" s="220"/>
      <c r="X38" s="222"/>
      <c r="Y38" s="223"/>
      <c r="Z38" s="224"/>
      <c r="AA38" s="228"/>
      <c r="AB38" s="230"/>
      <c r="AC38" s="223"/>
      <c r="AD38" s="224"/>
      <c r="AE38" s="232"/>
      <c r="AF38" s="104" t="str">
        <f>IF(OR(AND(AF34="",N(BA36)=0,BA40&lt;&gt;0),D38&lt;&gt;""),AX40/AQ39,"")</f>
        <v/>
      </c>
      <c r="AG38" s="234" t="str">
        <f>IF(BA40=0,"",IF(AD40="",AX38,IF(AND(D38&lt;&gt;"",AU38=""),AX40*SQRT(AP40^2+AP41^2)/SQRT(AS38^2+AS39^2)/AQ39,AX38*SQRT(AP40^2+AP41^2)/SQRT(AS38^2+AS39^2))))</f>
        <v/>
      </c>
      <c r="AH38" s="235"/>
      <c r="AI38" s="105" t="str">
        <f>IF(AG38="","",IF(N(U38)&lt;0,-AX38*AQ39/SQRT(AS38^2+AS39^2),AX38*AQ39/SQRT(AS38^2+AS39^2)))</f>
        <v/>
      </c>
      <c r="AJ38" s="201"/>
      <c r="AK38" s="202"/>
      <c r="AL38" s="106"/>
      <c r="AM38" s="59"/>
      <c r="AN38" s="107" t="b">
        <f>IF(BA38="","",IF(AND(BA38=1,F40=50,L38="油入自冷"),VLOOKUP(L40,変１,2,FALSE),IF(AND(BA38=1,F40=50,L38="モ－ルド絶縁"),VLOOKUP(L40,変１,7,FALSE),IF(AND(BA38=1,F40=60,L38="油入自冷"),VLOOKUP(L40,変１,12,FALSE),IF(AND(BA38=1,F40=60,L38="モ－ルド絶縁"),VLOOKUP(L40,変１,17,FALSE),FALSE)))))</f>
        <v>0</v>
      </c>
      <c r="AO38" s="107">
        <f>IF(ISNA(VLOOKUP(L40,変ＵＳＥＲ,2,FALSE)),0,VLOOKUP(L40,変ＵＳＥＲ,2,FALSE))</f>
        <v>0</v>
      </c>
      <c r="AP38" s="108">
        <f>IF(N38="",0,N38*1000/BA40^2/SQRT(BA38))</f>
        <v>0</v>
      </c>
      <c r="AQ38" s="107" t="b">
        <f>IF(BA38=1,2,IF(BA38=3,SQRT(3),FALSE))</f>
        <v>0</v>
      </c>
      <c r="AR38" s="109" t="str">
        <f>IF(X38="","",IF(X38="600V IV",VLOOKUP(X40,ＩＶ,2,FALSE),IF(X38="600V CV-T",VLOOKUP(X40,ＣＶＴ,2,FALSE),IF(OR(X38="600V CV-1C",X38="600V CV-2C",X38="600V CV-3C",X38="600V CV-4C"),VLOOKUP(X40,ＣＶ２３Ｃ,2,FALSE),VLOOKUP(X40,ＣＵＳＥＲ,2,FALSE)))))</f>
        <v/>
      </c>
      <c r="AS38" s="107" t="str">
        <f>IF(AB41="",AP40,AP40+(AB41/1000))</f>
        <v/>
      </c>
      <c r="AT38" s="110" t="str">
        <f>IF(AU40="",AT40,AU40)</f>
        <v/>
      </c>
      <c r="AU38" s="110" t="str">
        <f>IF(D38="","",IF(AND(D42="",D46&lt;&gt;"",AV41=AV49),AT46,IF(AND(D42="",D46="",D50&lt;&gt;"",AV45=AV53),AT50,IF(AND(D42="",D46="",D50="",D54&lt;&gt;"",AV49=AV57),AT54,IF(AND(D42="",D46="",D50="",D54="",D178&lt;&gt;"",AV53=AV181),AT178,IF(AND(D42="",D46="",D50="",D54="",D178="",D182&lt;&gt;"",AV57=AV185),AT182,IF(AND(D42="",D46="",D50="",D54="",D178="",D182="",D186&lt;&gt;"",AV181=AV189),AT186,"")))))))</f>
        <v/>
      </c>
      <c r="AV38" s="110" t="str">
        <f>IF(L38="発電機",IF(ISNA(VLOOKUP(L40,ＡＣＧ,2,FALSE)),0,VLOOKUP(L40,ＡＣＧ,2,FALSE)),"")</f>
        <v/>
      </c>
      <c r="AW38" s="111" t="str">
        <f>IF(AT38="","",AT38/((AT38*AP38)^2+(AT39*AP38-1)^2))</f>
        <v/>
      </c>
      <c r="AX38" s="112" t="str">
        <f>IF(BA40=0,"",IF(OR(AX34="",AF38&lt;&gt;""),AF38*SQRT(AS40^2+AS41^2)/SQRT(AT40^2+AT41^2),AX34*SQRT(AS40^2+AS41^2)/SQRT(AT40^2+AT41^2)))</f>
        <v/>
      </c>
      <c r="AY38" s="113">
        <f>IF(N(AY40)=10^30,10^30,IF(N(AY44)=10^30,(N(AY40)*(N(AY44)^2+N(AY45)^2)+N(AY44)*(N(AY40)^2+N(AY41)^2))/((N(AY40)+N(AY44))^2+(N(AY41)+N(AY45))^2),(N(AY40)*(N(AY42)^2+N(AY43)^2)+N(AY42)*(N(AY40)^2+N(AY41)^2))/((N(AY40)+N(AY42))^2+(N(AY41)+N(AY43))^2)))</f>
        <v>1E+30</v>
      </c>
      <c r="AZ38" s="52"/>
      <c r="BA38" s="114">
        <f>IF(AND(F38="",SUM(S38:S41)&lt;&gt;0),BA34,F38)</f>
        <v>0</v>
      </c>
      <c r="BB38" s="115">
        <f>IF(AND(BA38=3,S38&lt;&gt;""),1,0)</f>
        <v>0</v>
      </c>
      <c r="BC38" s="52"/>
      <c r="BD38" s="29" t="s">
        <v>119</v>
      </c>
      <c r="BE38" s="1"/>
      <c r="BF38" s="29"/>
      <c r="BH38" s="162">
        <f>IF(OR(E38="",F41="",AND(OR(P38="",Q38="",R38="",T38=""),OR(P39="",Q39="",R39="",T39=""),OR(P40="",Q40="",R40="",T40=""),OR(P41="",Q41="",R41="",T41="")),AND(OR(X38="",X40="",Y40="",Z40=""),OR(AB38="",AB40="",AC40="",AD40=""))),0,1)</f>
        <v>0</v>
      </c>
      <c r="BI38" s="162">
        <f>BH38+BI34</f>
        <v>4</v>
      </c>
      <c r="BJ38" s="4"/>
      <c r="BK38" s="4"/>
    </row>
    <row r="39" spans="2:63" ht="15" customHeight="1" x14ac:dyDescent="0.15">
      <c r="B39" s="158"/>
      <c r="C39" s="245"/>
      <c r="D39" s="432"/>
      <c r="E39" s="448"/>
      <c r="F39" s="434"/>
      <c r="G39" s="241"/>
      <c r="H39" s="435"/>
      <c r="I39" s="241"/>
      <c r="J39" s="435"/>
      <c r="K39" s="247"/>
      <c r="L39" s="436"/>
      <c r="M39" s="170" t="str">
        <f>IF(L38="発電機",SQRT(AV38^2+AV39^2),IF(L40="","",IF(OR(L38="油入自冷",L38="モ－ルド絶縁"),IF(BA38=1,SQRT(AN38^2+AN39^2),IF(BA38=3,SQRT(AN40^2+AN41^2))),SQRT(AO38^2+AO39^2))))</f>
        <v/>
      </c>
      <c r="N39" s="437"/>
      <c r="O39" s="171"/>
      <c r="P39" s="195"/>
      <c r="Q39" s="172"/>
      <c r="R39" s="173"/>
      <c r="S39" s="174" t="str">
        <f t="shared" ref="S39:S57" si="1">IF(R39="","",IF(Q39="",P39/R39,P39/(Q39*R39)))</f>
        <v/>
      </c>
      <c r="T39" s="175"/>
      <c r="U39" s="176" t="str">
        <f>IF(OR(BA40="",S39=""),"",S39*1000*T39/(SQRT(BA38)*BA40))</f>
        <v/>
      </c>
      <c r="V39" s="237"/>
      <c r="W39" s="221"/>
      <c r="X39" s="225"/>
      <c r="Y39" s="226"/>
      <c r="Z39" s="227"/>
      <c r="AA39" s="229"/>
      <c r="AB39" s="231"/>
      <c r="AC39" s="226"/>
      <c r="AD39" s="227"/>
      <c r="AE39" s="233"/>
      <c r="AF39" s="124" t="str">
        <f>IF(OR(AF38="",AG34&lt;&gt;""),"",AF38*AQ39/SQRT(AT38^2+AT39^2))</f>
        <v/>
      </c>
      <c r="AG39" s="205" t="str">
        <f>IF(AG38="","",100*AG38*AQ39/BA40)</f>
        <v/>
      </c>
      <c r="AH39" s="206"/>
      <c r="AI39" s="207" t="str">
        <f>IF(BA40=0,"",IF(AI34="",AX40/SQRT(AT38^2+AT39^2),IF(AI42="","",IF(AT38&lt;0,-AX38*AQ35/SQRT(AT38^2+AT39^2),AX38*AQ35/SQRT(AT38^2+AT39^2)))))</f>
        <v/>
      </c>
      <c r="AJ39" s="203"/>
      <c r="AK39" s="204"/>
      <c r="AL39" s="125"/>
      <c r="AM39" s="59"/>
      <c r="AN39" s="107" t="b">
        <f>IF(BA38="","",IF(AND(BA38=1,F40=50,L38="油入自冷"),VLOOKUP(L40,変１,3,FALSE),IF(AND(BA38=1,F40=50,L38="モ－ルド絶縁"),VLOOKUP(L40,変１,8,FALSE),IF(AND(BA38=1,F40=60,L38="油入自冷"),VLOOKUP(L40,変１,13,FALSE),IF(AND(BA38=1,F40=60,L38="モ－ルド絶縁"),VLOOKUP(L40,変１,18,FALSE),FALSE)))))</f>
        <v>0</v>
      </c>
      <c r="AO39" s="107">
        <f>IF(ISNA(VLOOKUP(L40,変ＵＳＥＲ,3,FALSE)),0,VLOOKUP(L40,変ＵＳＥＲ,3,FALSE)*BA41/50)</f>
        <v>0</v>
      </c>
      <c r="AP39" s="108">
        <f>IF(W38="",0,W38*1000/BA40^2/SQRT(BA38))</f>
        <v>0</v>
      </c>
      <c r="AQ39" s="107">
        <f>IF(AND(BA38=1,BA39=2),1,IF(AND(BA38=3,BA39=3),1,IF(AND(BA38=1,BA39=3),2,IF(AND(BA38=3,BA39=4)*OR(BB38=1,BB39=1,BB40=1,BB41=1),1,SQRT(3)))))</f>
        <v>1.7320508075688772</v>
      </c>
      <c r="AR39" s="109" t="str">
        <f>IF(X38="","",IF(X38="600V IV",VLOOKUP(X40,ＩＶ,3,FALSE),IF(X38="600V CV-T",VLOOKUP(X40,ＣＶＴ,3,FALSE),IF(OR(X38="600V CV-1C",X38="600V CV-2C",X38="600V CV-3C",X38="600V CV-4C"),VLOOKUP(X40,ＣＶ２３Ｃ,3,FALSE),VLOOKUP(X40,ＣＵＳＥＲ,3,FALSE)))))</f>
        <v/>
      </c>
      <c r="AS39" s="107" t="str">
        <f>IF(AD41="",AP41,AP41+(AD41/1000))</f>
        <v/>
      </c>
      <c r="AT39" s="110" t="str">
        <f>IF(AU41="",AT41,AU41)</f>
        <v/>
      </c>
      <c r="AU39" s="110" t="str">
        <f>IF(D38="","",IF(AND(D42="",D46&lt;&gt;"",AV41=AV49),AT47,IF(AND(D42="",D46="",D50&lt;&gt;"",AV45=AV53),AT51,IF(AND(D42="",D46="",D50="",D54&lt;&gt;"",AV49=AV57),AT55,IF(AND(D42="",D46="",D50="",D54="",D178&lt;&gt;"",AV53=AV181),AT179,IF(AND(D42="",D46="",D50="",D54="",D178="",D182&lt;&gt;"",AV57=AV185),AT183,IF(AND(D42="",D46="",D50="",D54="",D178="",D182="",D186&lt;&gt;"",AV181=AV189),AT187,"")))))))</f>
        <v/>
      </c>
      <c r="AV39" s="109" t="str">
        <f>IF(L38="発電機",IF(ISNA(VLOOKUP(L40,ＡＣＧ,3,FALSE)),0,VLOOKUP(L40,ＡＣＧ,3,FALSE)*BA41/50),"")</f>
        <v/>
      </c>
      <c r="AW39" s="111" t="str">
        <f>IF(AT39="","",(AT39-AP38*(AT38^2+AT39^2))/((AT38*AP38)^2+(AP38*AT39-1)^2))</f>
        <v/>
      </c>
      <c r="AX39" s="112"/>
      <c r="AY39" s="113">
        <f>IF(N(AY41)=10^30,10^30,IF(N(AY45)=10^30,(N(AY41)*(N(AY44)^2+N(AY45)^2)+N(AY45)*(N(AY40)^2+N(AY41)^2))/((N(AY40)+N(AY44))^2+(N(AY41)+N(AY45))^2),(N(AY41)*(N(AY42)^2+N(AY43)^2)+N(AY43)*(N(AY40)^2+N(AY41)^2))/((N(AY40)+N(AY42))^2+(N(AY41)+N(AY43))^2)))</f>
        <v>1E+30</v>
      </c>
      <c r="AZ39" s="52"/>
      <c r="BA39" s="114">
        <f>IF(AND(H38="",SUM(S38:S41)&lt;&gt;0),BA35,H38)</f>
        <v>0</v>
      </c>
      <c r="BB39" s="115">
        <f>IF(AND(BA38=3,S39&lt;&gt;""),1,0)</f>
        <v>0</v>
      </c>
      <c r="BC39" s="52"/>
      <c r="BD39" s="29"/>
      <c r="BE39" s="1"/>
      <c r="BF39" s="29" t="s">
        <v>134</v>
      </c>
      <c r="BH39" s="162"/>
      <c r="BI39" s="162"/>
      <c r="BJ39" s="4"/>
      <c r="BK39" s="4"/>
    </row>
    <row r="40" spans="2:63" ht="15" customHeight="1" x14ac:dyDescent="0.15">
      <c r="B40" s="158"/>
      <c r="C40" s="245"/>
      <c r="D40" s="432"/>
      <c r="E40" s="448"/>
      <c r="F40" s="438"/>
      <c r="G40" s="438"/>
      <c r="H40" s="438"/>
      <c r="I40" s="438"/>
      <c r="J40" s="438"/>
      <c r="K40" s="439"/>
      <c r="L40" s="440"/>
      <c r="M40" s="441"/>
      <c r="N40" s="437"/>
      <c r="O40" s="171"/>
      <c r="P40" s="196"/>
      <c r="Q40" s="177"/>
      <c r="R40" s="173"/>
      <c r="S40" s="174" t="str">
        <f t="shared" si="1"/>
        <v/>
      </c>
      <c r="T40" s="175"/>
      <c r="U40" s="178" t="str">
        <f>IF(OR(BA40="",S40=""),"",S40*1000*T40/(SQRT(BA38)*BA40))</f>
        <v/>
      </c>
      <c r="V40" s="179" t="str">
        <f>IF(AND(N(U38)=0,N(U39)=0,N(U40)=0,N(U41)=0),"",V38*(P38*R38*T38+P39*R39*T39+P40*R40*T40+P41*R41*T41)/(P38*T38+P39*T39+P40*T40+P41*T41))</f>
        <v/>
      </c>
      <c r="W40" s="209" t="str">
        <f>IF(AND(N(AP40)=0,N(AP41)=0,N(AP39)=0),"",IF(AP41&gt;=0,COS(ATAN(AP41/AP40)),-COS(ATAN(AP41/AP40))))</f>
        <v/>
      </c>
      <c r="X40" s="180"/>
      <c r="Y40" s="181"/>
      <c r="Z40" s="182"/>
      <c r="AA40" s="183"/>
      <c r="AB40" s="184"/>
      <c r="AC40" s="181"/>
      <c r="AD40" s="182"/>
      <c r="AE40" s="185"/>
      <c r="AF40" s="136" t="str">
        <f>IF(OR(AF38="",AG34&lt;&gt;""),"",BA40/SQRT(AW40^2+AW41^2))</f>
        <v/>
      </c>
      <c r="AG40" s="205" t="str">
        <f>IF(AG38="","",100*((BA40/AQ39)-AG38)/(BA40/AQ39))</f>
        <v/>
      </c>
      <c r="AH40" s="206"/>
      <c r="AI40" s="208"/>
      <c r="AJ40" s="211"/>
      <c r="AK40" s="213"/>
      <c r="AL40" s="137"/>
      <c r="AM40" s="59"/>
      <c r="AN40" s="138" t="b">
        <f>IF(BA38="","",IF(AND(BA38=3,F40=50,L38="油入自冷"),VLOOKUP(L40,変３,2,FALSE),IF(AND(BA38=3,F40=50,L38="モ－ルド絶縁"),VLOOKUP(L40,変３,7,FALSE),IF(AND(BA38=3,F40=60,L38="油入自冷"),VLOOKUP(L40,変３,12,FALSE),IF(AND(BA38=3,F40=60,L38="モ－ルド絶縁"),VLOOKUP(L40,変３,17,FALSE),FALSE)))))</f>
        <v>0</v>
      </c>
      <c r="AO40" s="109" t="str">
        <f>IF(AND(L34="",N(AY38)&lt;10^29),AY38,"")</f>
        <v/>
      </c>
      <c r="AP40" s="139" t="str">
        <f>IF(V38="","",IF(AND(N(V40)=0,N(AP39)=0),"",AQ40/((AQ40*AP39)^2+(AP39*AQ41-1)^2)))</f>
        <v/>
      </c>
      <c r="AQ40" s="107">
        <f>IF(N(V40)=0,10^30,V40)</f>
        <v>1E+30</v>
      </c>
      <c r="AR40" s="109" t="str">
        <f>IF(AB38="","",IF(AB38="600V IV",VLOOKUP(AB40,ＩＶ,2,FALSE),IF(AB38="600V CV-T",VLOOKUP(AB40,ＣＶＴ,2,FALSE),IF(OR(AB38="600V CV-1C",AB38="600V CV-2C",AB38="600V CV-3C",AB38="600V CV-4C"),VLOOKUP(AB40,ＣＶ２３Ｃ,2,FALSE),VLOOKUP(AB40,ＣＵＳＥＲ,2,FALSE)))))</f>
        <v/>
      </c>
      <c r="AS40" s="107" t="str">
        <f>IF(OR(AND(AS42="",AS43=""),AND(D38="",D42&lt;&gt;"")),AS38,(AS38*(AT42^2+AT43^2)+AT42*(AS38^2+AS39^2))/((AS38+AT42)^2+(AS39+AT43)^2))</f>
        <v/>
      </c>
      <c r="AT40" s="110" t="str">
        <f>IF(X41="",AS40,N(AS40)+(X41/1000))</f>
        <v/>
      </c>
      <c r="AU40" s="110" t="str">
        <f>IF(AU38="","",(AT40*(AU38^2+AU39^2)+AU38*(AT40^2+AT41^2))/((AT40+AU38)^2+(AT41+AU39)^2))</f>
        <v/>
      </c>
      <c r="AV40" s="110">
        <f>IF(BA40=0,1,0)</f>
        <v>1</v>
      </c>
      <c r="AW40" s="111" t="str">
        <f>IF(AO40="","",AW38+AO40)</f>
        <v/>
      </c>
      <c r="AX40" s="112" t="str">
        <f>IF(AND(AX36="",AW40&lt;&gt;""),BA40*SQRT(AW38^2+AW39^2)/SQRT(AW40^2+AW41^2),IF(BA40&lt;&gt;0,AX36,""))</f>
        <v/>
      </c>
      <c r="AY40" s="140">
        <f>IF(L40="",10^30,SQRT(BA38)*(BA40^2)*(N(AN38)+N(AN40)+N(AO38)+N(AV38))/(100000*L40*M38))</f>
        <v>1E+30</v>
      </c>
      <c r="AZ40" s="141"/>
      <c r="BA40" s="114">
        <f>IF(AND(J38="",SUM(S38:S41)&lt;&gt;0),BA36,J38)</f>
        <v>0</v>
      </c>
      <c r="BB40" s="115">
        <f>IF(AND(BA38=3,S40&lt;&gt;""),1,0)</f>
        <v>0</v>
      </c>
      <c r="BC40" s="52"/>
      <c r="BD40" s="29" t="s">
        <v>120</v>
      </c>
      <c r="BE40" s="1"/>
      <c r="BF40" s="29" t="s">
        <v>135</v>
      </c>
      <c r="BH40" s="162"/>
      <c r="BI40" s="162"/>
      <c r="BJ40" s="4"/>
      <c r="BK40" s="4"/>
    </row>
    <row r="41" spans="2:63" ht="15" customHeight="1" x14ac:dyDescent="0.15">
      <c r="B41" s="158"/>
      <c r="C41" s="245"/>
      <c r="D41" s="442"/>
      <c r="E41" s="449"/>
      <c r="F41" s="444"/>
      <c r="G41" s="444"/>
      <c r="H41" s="444"/>
      <c r="I41" s="444"/>
      <c r="J41" s="444"/>
      <c r="K41" s="445"/>
      <c r="L41" s="238" t="str">
        <f>IF(M38="","",L40*1000*M38/(SQRT(BA38)*BA40))</f>
        <v/>
      </c>
      <c r="M41" s="239"/>
      <c r="N41" s="446"/>
      <c r="O41" s="186"/>
      <c r="P41" s="197"/>
      <c r="Q41" s="187"/>
      <c r="R41" s="188"/>
      <c r="S41" s="189" t="str">
        <f t="shared" si="1"/>
        <v/>
      </c>
      <c r="T41" s="190"/>
      <c r="U41" s="191" t="str">
        <f>IF(OR(BA40="",S41=""),"",S41*1000*T41/(SQRT(BA38)*BA40))</f>
        <v/>
      </c>
      <c r="V41" s="192" t="str">
        <f>IF(AND(N(U38)=0,N(U39)=0,N(U40)=0,N(U41)=0),"",IF(V38&gt;=0,SQRT(ABS(V38^2-V40^2)),-SQRT(V38^2-V40^2)))</f>
        <v/>
      </c>
      <c r="W41" s="210"/>
      <c r="X41" s="215" t="str">
        <f>IF(Y40="","",AQ38*Z40*AR38*((1+0.00393*(F41-20))/1.2751)/Y40)</f>
        <v/>
      </c>
      <c r="Y41" s="216"/>
      <c r="Z41" s="217" t="str">
        <f>IF(Y40="","",(BA41/50)*AQ38*Z40*AR39/Y40)</f>
        <v/>
      </c>
      <c r="AA41" s="218"/>
      <c r="AB41" s="219" t="str">
        <f>IF(AC40="","",AQ38*AD40*AR40*((1+0.00393*(F41-20))/1.2751)/AC40)</f>
        <v/>
      </c>
      <c r="AC41" s="216"/>
      <c r="AD41" s="217" t="str">
        <f>IF(AC40="","",(BA41/50)*AQ38*AD40*AR41/AC40)</f>
        <v/>
      </c>
      <c r="AE41" s="242"/>
      <c r="AF41" s="150" t="str">
        <f>IF(AND(AX38&lt;&gt;"",D38=""),AX38,"")</f>
        <v/>
      </c>
      <c r="AG41" s="243" t="str">
        <f>IF(AP40="","",AP40)</f>
        <v/>
      </c>
      <c r="AH41" s="244"/>
      <c r="AI41" s="151" t="str">
        <f>IF(AP41="","",AP41)</f>
        <v/>
      </c>
      <c r="AJ41" s="212"/>
      <c r="AK41" s="214"/>
      <c r="AL41" s="152"/>
      <c r="AM41" s="59"/>
      <c r="AN41" s="153" t="b">
        <f>IF(BA38="","",IF(AND(BA38=3,F40=50,L38="油入自冷"),VLOOKUP(L40,変３,3,FALSE),IF(AND(BA38=3,F40=50,L38="モ－ルド絶縁"),VLOOKUP(L40,変３,8,FALSE),IF(AND(BA38=3,F40=60,L38="油入自冷"),VLOOKUP(L40,変３,13,FALSE),IF(AND(BA38=3,F40=60,L38="モ－ルド絶縁"),VLOOKUP(L40,変３,18,FALSE),FALSE)))))</f>
        <v>0</v>
      </c>
      <c r="AO41" s="153" t="str">
        <f>IF(AND(L34="",N(AY39)&lt;10^29),AY39,"")</f>
        <v/>
      </c>
      <c r="AP41" s="154" t="str">
        <f>IF(V38="","",IF(AND(N(V41)=0,N(AP39)=0),0,(AQ41-AP39*(AQ40^2+AQ41^2))/((AQ40*AP39)^2+(AP39*AQ41-1)^2)))</f>
        <v/>
      </c>
      <c r="AQ41" s="155">
        <f>IF(N(V41)=0,10^30,V41)</f>
        <v>1E+30</v>
      </c>
      <c r="AR41" s="153" t="str">
        <f>IF(AB38="","",IF(AB38="600V IV",VLOOKUP(AB40,ＩＶ,3,FALSE),IF(AB38="600V CV-T",VLOOKUP(AB40,ＣＶＴ,3,FALSE),IF(OR(AB38="600V CV-1C",AB38="600V CV-2C",AB38="600V CV-3C",AB38="600V CV-4C"),VLOOKUP(AB40,ＣＶ２３Ｃ,3,FALSE),VLOOKUP(AB40,ＣＵＳＥＲ,3,FALSE)))))</f>
        <v/>
      </c>
      <c r="AS41" s="155" t="str">
        <f>IF(OR(AND(AS42="",AS43=""),AND(D38="",D42&lt;&gt;"")),AS39,(AS39*(AT42^2+AT43^2)+AT43*(AS38^2+AS39^2))/((AS38+AT42)^2+(AS39+AT43)^2))</f>
        <v/>
      </c>
      <c r="AT41" s="156" t="str">
        <f>IF(Z41="",AS41,N(AS41)+(Z41/1000))</f>
        <v/>
      </c>
      <c r="AU41" s="156" t="str">
        <f>IF(AU39="","",(AT41*(AU38^2+AU39^2)+AU39*(AT40^2+AT41^2))/((AT40+AU38)^2+(AT41+AU39)^2))</f>
        <v/>
      </c>
      <c r="AV41" s="156">
        <f>AV37+AV40</f>
        <v>3</v>
      </c>
      <c r="AW41" s="155" t="str">
        <f>IF(AO41="","",AW39+AO41)</f>
        <v/>
      </c>
      <c r="AX41" s="157"/>
      <c r="AY41" s="140">
        <f>IF(L40="",10^30,SQRT(BA38)*(BA40^2)*(N(AN39)+N(AN41)+N(AO39)+N(AV39))/(100000*L40*M38))</f>
        <v>1E+30</v>
      </c>
      <c r="AZ41" s="141"/>
      <c r="BA41" s="114">
        <f>IF(AND(F40="",SUM(S38:S41)&lt;&gt;0),BA37,F40)</f>
        <v>0</v>
      </c>
      <c r="BB41" s="115">
        <f>IF(AND(BA38=3,S41&lt;&gt;""),1,0)</f>
        <v>0</v>
      </c>
      <c r="BC41" s="52"/>
      <c r="BD41" s="29" t="s">
        <v>121</v>
      </c>
      <c r="BE41" s="1"/>
      <c r="BF41" s="29" t="s">
        <v>136</v>
      </c>
      <c r="BH41" s="162"/>
      <c r="BI41" s="162"/>
      <c r="BJ41" s="4"/>
      <c r="BK41" s="4"/>
    </row>
    <row r="42" spans="2:63" ht="15" customHeight="1" x14ac:dyDescent="0.15">
      <c r="B42" s="158"/>
      <c r="C42" s="245" t="str">
        <f>IF(BH42=1,"●","・")</f>
        <v>・</v>
      </c>
      <c r="D42" s="425"/>
      <c r="E42" s="447"/>
      <c r="F42" s="427"/>
      <c r="G42" s="240" t="str">
        <f>IF(F42="","","φ")</f>
        <v/>
      </c>
      <c r="H42" s="428"/>
      <c r="I42" s="240" t="str">
        <f>IF(H42="","","W")</f>
        <v/>
      </c>
      <c r="J42" s="428"/>
      <c r="K42" s="246" t="str">
        <f>IF(J42="","","V")</f>
        <v/>
      </c>
      <c r="L42" s="429"/>
      <c r="M42" s="430"/>
      <c r="N42" s="431"/>
      <c r="O42" s="164"/>
      <c r="P42" s="194"/>
      <c r="Q42" s="165"/>
      <c r="R42" s="166"/>
      <c r="S42" s="167" t="str">
        <f>IF(R42="","",IF(Q42="",P42/R42,P42/(Q42*R42)))</f>
        <v/>
      </c>
      <c r="T42" s="168"/>
      <c r="U42" s="169" t="str">
        <f>IF(OR(BA44="",S42=""),"",S42*1000*T42/(SQRT(BA42)*BA44))</f>
        <v/>
      </c>
      <c r="V42" s="236" t="str">
        <f>IF(AND(N(U42)=0,N(U43)=0,N(U44)=0,N(U45)=0),"",BA44/(SUM(U42:U45)))</f>
        <v/>
      </c>
      <c r="W42" s="220"/>
      <c r="X42" s="222"/>
      <c r="Y42" s="223"/>
      <c r="Z42" s="224"/>
      <c r="AA42" s="228"/>
      <c r="AB42" s="230"/>
      <c r="AC42" s="223"/>
      <c r="AD42" s="224"/>
      <c r="AE42" s="232"/>
      <c r="AF42" s="104" t="str">
        <f>IF(OR(AND(AF38="",N(BA40)=0,BA44&lt;&gt;0),D42&lt;&gt;""),AX44/AQ43,"")</f>
        <v/>
      </c>
      <c r="AG42" s="234" t="str">
        <f>IF(BA44=0,"",IF(AD44="",AX42,IF(AND(D42&lt;&gt;"",AU42=""),AX44*SQRT(AP44^2+AP45^2)/SQRT(AS42^2+AS43^2)/AQ43,AX42*SQRT(AP44^2+AP45^2)/SQRT(AS42^2+AS43^2))))</f>
        <v/>
      </c>
      <c r="AH42" s="235"/>
      <c r="AI42" s="105" t="str">
        <f>IF(AG42="","",IF(N(U42)&lt;0,-AX42*AQ43/SQRT(AS42^2+AS43^2),AX42*AQ43/SQRT(AS42^2+AS43^2)))</f>
        <v/>
      </c>
      <c r="AJ42" s="201"/>
      <c r="AK42" s="202"/>
      <c r="AL42" s="106"/>
      <c r="AM42" s="59"/>
      <c r="AN42" s="107" t="b">
        <f>IF(BA42="","",IF(AND(BA42=1,F44=50,L42="油入自冷"),VLOOKUP(L44,変１,2,FALSE),IF(AND(BA42=1,F44=50,L42="モ－ルド絶縁"),VLOOKUP(L44,変１,7,FALSE),IF(AND(BA42=1,F44=60,L42="油入自冷"),VLOOKUP(L44,変１,12,FALSE),IF(AND(BA42=1,F44=60,L42="モ－ルド絶縁"),VLOOKUP(L44,変１,17,FALSE),FALSE)))))</f>
        <v>0</v>
      </c>
      <c r="AO42" s="107">
        <f>IF(ISNA(VLOOKUP(L44,変ＵＳＥＲ,2,FALSE)),0,VLOOKUP(L44,変ＵＳＥＲ,2,FALSE))</f>
        <v>0</v>
      </c>
      <c r="AP42" s="108">
        <f>IF(N42="",0,N42*1000/BA44^2/SQRT(BA42))</f>
        <v>0</v>
      </c>
      <c r="AQ42" s="107" t="b">
        <f>IF(BA42=1,2,IF(BA42=3,SQRT(3),FALSE))</f>
        <v>0</v>
      </c>
      <c r="AR42" s="109" t="str">
        <f>IF(X42="","",IF(X42="600V IV",VLOOKUP(X44,ＩＶ,2,FALSE),IF(X42="600V CV-T",VLOOKUP(X44,ＣＶＴ,2,FALSE),IF(OR(X42="600V CV-1C",X42="600V CV-2C",X42="600V CV-3C",X42="600V CV-4C"),VLOOKUP(X44,ＣＶ２３Ｃ,2,FALSE),VLOOKUP(X44,ＣＵＳＥＲ,2,FALSE)))))</f>
        <v/>
      </c>
      <c r="AS42" s="107" t="str">
        <f>IF(AB45="",AP44,AP44+(AB45/1000))</f>
        <v/>
      </c>
      <c r="AT42" s="110" t="str">
        <f>IF(AU44="",AT44,AU44)</f>
        <v/>
      </c>
      <c r="AU42" s="110" t="str">
        <f>IF(D42="","",IF(AND(D46="",D50&lt;&gt;"",AV45=AV53),AT50,IF(AND(D46="",D50="",D54&lt;&gt;"",AV49=AV57),AT54,IF(AND(D46="",D50="",D54="",D178&lt;&gt;"",AV53=AV181),AT178,IF(AND(D46="",D50="",D54="",D178="",D182&lt;&gt;"",AV57=AV185),AT182,IF(AND(D46="",D50="",D54="",D178="",D182="",D186&lt;&gt;"",AV181=AV189),AT186,IF(AND(D46="",D50="",D54="",D178="",D182="",D186="",#REF!&lt;&gt;"",AV185=#REF!),#REF!,"")))))))</f>
        <v/>
      </c>
      <c r="AV42" s="110" t="str">
        <f>IF(L42="発電機",IF(ISNA(VLOOKUP(L44,ＡＣＧ,2,FALSE)),0,VLOOKUP(L44,ＡＣＧ,2,FALSE)),"")</f>
        <v/>
      </c>
      <c r="AW42" s="111" t="str">
        <f>IF(AT42="","",AT42/((AT42*AP42)^2+(AT43*AP42-1)^2))</f>
        <v/>
      </c>
      <c r="AX42" s="112" t="str">
        <f>IF(BA44=0,"",IF(OR(AX38="",AF42&lt;&gt;""),AF42*SQRT(AS44^2+AS45^2)/SQRT(AT44^2+AT45^2),AX38*SQRT(AS44^2+AS45^2)/SQRT(AT44^2+AT45^2)))</f>
        <v/>
      </c>
      <c r="AY42" s="113">
        <f>IF(N(AY44)=10^30,10^30,IF(N(AY48)=10^30,(N(AY44)*(N(AY48)^2+N(AY49)^2)+N(AY48)*(N(AY44)^2+N(AY45)^2))/((N(AY44)+N(AY48))^2+(N(AY45)+N(AY49))^2),(N(AY44)*(N(AY46)^2+N(AY47)^2)+N(AY46)*(N(AY44)^2+N(AY45)^2))/((N(AY44)+N(AY46))^2+(N(AY45)+N(AY47))^2)))</f>
        <v>1E+30</v>
      </c>
      <c r="AZ42" s="52"/>
      <c r="BA42" s="114">
        <f>IF(AND(F42="",SUM(S42:S45)&lt;&gt;0),BA38,F42)</f>
        <v>0</v>
      </c>
      <c r="BB42" s="115">
        <f>IF(AND(BA42=3,S42&lt;&gt;""),1,0)</f>
        <v>0</v>
      </c>
      <c r="BC42" s="52"/>
      <c r="BD42" s="29" t="s">
        <v>122</v>
      </c>
      <c r="BE42" s="1"/>
      <c r="BF42" s="29" t="s">
        <v>137</v>
      </c>
      <c r="BH42" s="162">
        <f>IF(OR(E42="",F45="",AND(OR(P42="",Q42="",R42="",T42=""),OR(P43="",Q43="",R43="",T43=""),OR(P44="",Q44="",R44="",T44=""),OR(P45="",Q45="",R45="",T45="")),AND(OR(X42="",X44="",Y44="",Z44=""),OR(AB42="",AB44="",AC44="",AD44=""))),0,1)</f>
        <v>0</v>
      </c>
      <c r="BI42" s="162">
        <f>BH42+BI38</f>
        <v>4</v>
      </c>
      <c r="BJ42" s="4"/>
      <c r="BK42" s="4"/>
    </row>
    <row r="43" spans="2:63" ht="15" customHeight="1" x14ac:dyDescent="0.15">
      <c r="B43" s="158"/>
      <c r="C43" s="245"/>
      <c r="D43" s="432"/>
      <c r="E43" s="448"/>
      <c r="F43" s="434"/>
      <c r="G43" s="241"/>
      <c r="H43" s="435"/>
      <c r="I43" s="241"/>
      <c r="J43" s="435"/>
      <c r="K43" s="247"/>
      <c r="L43" s="436"/>
      <c r="M43" s="170" t="str">
        <f>IF(L42="発電機",SQRT(AV42^2+AV43^2),IF(L44="","",IF(OR(L42="油入自冷",L42="モ－ルド絶縁"),IF(BA42=1,SQRT(AN42^2+AN43^2),IF(BA42=3,SQRT(AN44^2+AN45^2))),SQRT(AO42^2+AO43^2))))</f>
        <v/>
      </c>
      <c r="N43" s="437"/>
      <c r="O43" s="171"/>
      <c r="P43" s="195"/>
      <c r="Q43" s="172"/>
      <c r="R43" s="173"/>
      <c r="S43" s="174" t="str">
        <f t="shared" si="1"/>
        <v/>
      </c>
      <c r="T43" s="175"/>
      <c r="U43" s="176" t="str">
        <f>IF(OR(BA44="",S43=""),"",S43*1000*T43/(SQRT(BA42)*BA44))</f>
        <v/>
      </c>
      <c r="V43" s="237"/>
      <c r="W43" s="221"/>
      <c r="X43" s="225"/>
      <c r="Y43" s="226"/>
      <c r="Z43" s="227"/>
      <c r="AA43" s="229"/>
      <c r="AB43" s="231"/>
      <c r="AC43" s="226"/>
      <c r="AD43" s="227"/>
      <c r="AE43" s="233"/>
      <c r="AF43" s="124" t="str">
        <f>IF(OR(AF42="",AG38&lt;&gt;""),"",AF42*AQ43/SQRT(AT42^2+AT43^2))</f>
        <v/>
      </c>
      <c r="AG43" s="205" t="str">
        <f>IF(AG42="","",100*AG42*AQ43/BA44)</f>
        <v/>
      </c>
      <c r="AH43" s="206"/>
      <c r="AI43" s="207" t="str">
        <f>IF(BA44=0,"",IF(AI38="",AX44/SQRT(AT42^2+AT43^2),IF(AI46="","",IF(AT42&lt;0,-AX42*AQ39/SQRT(AT42^2+AT43^2),AX42*AQ39/SQRT(AT42^2+AT43^2)))))</f>
        <v/>
      </c>
      <c r="AJ43" s="203"/>
      <c r="AK43" s="204"/>
      <c r="AL43" s="125"/>
      <c r="AM43" s="59"/>
      <c r="AN43" s="107" t="b">
        <f>IF(BA42="","",IF(AND(BA42=1,F44=50,L42="油入自冷"),VLOOKUP(L44,変１,3,FALSE),IF(AND(BA42=1,F44=50,L42="モ－ルド絶縁"),VLOOKUP(L44,変１,8,FALSE),IF(AND(BA42=1,F44=60,L42="油入自冷"),VLOOKUP(L44,変１,13,FALSE),IF(AND(BA42=1,F44=60,L42="モ－ルド絶縁"),VLOOKUP(L44,変１,18,FALSE),FALSE)))))</f>
        <v>0</v>
      </c>
      <c r="AO43" s="107">
        <f>IF(ISNA(VLOOKUP(L44,変ＵＳＥＲ,3,FALSE)),0,VLOOKUP(L44,変ＵＳＥＲ,3,FALSE)*BA45/50)</f>
        <v>0</v>
      </c>
      <c r="AP43" s="108">
        <f>IF(W42="",0,W42*1000/BA44^2/SQRT(BA42))</f>
        <v>0</v>
      </c>
      <c r="AQ43" s="107">
        <f>IF(AND(BA42=1,BA43=2),1,IF(AND(BA42=3,BA43=3),1,IF(AND(BA42=1,BA43=3),2,IF(AND(BA42=3,BA43=4)*OR(BB42=1,BB43=1,BB44=1,BB45=1),1,SQRT(3)))))</f>
        <v>1.7320508075688772</v>
      </c>
      <c r="AR43" s="109" t="str">
        <f>IF(X42="","",IF(X42="600V IV",VLOOKUP(X44,ＩＶ,3,FALSE),IF(X42="600V CV-T",VLOOKUP(X44,ＣＶＴ,3,FALSE),IF(OR(X42="600V CV-1C",X42="600V CV-2C",X42="600V CV-3C",X42="600V CV-4C"),VLOOKUP(X44,ＣＶ２３Ｃ,3,FALSE),VLOOKUP(X44,ＣＵＳＥＲ,3,FALSE)))))</f>
        <v/>
      </c>
      <c r="AS43" s="107" t="str">
        <f>IF(AD45="",AP45,AP45+(AD45/1000))</f>
        <v/>
      </c>
      <c r="AT43" s="110" t="str">
        <f>IF(AU45="",AT45,AU45)</f>
        <v/>
      </c>
      <c r="AU43" s="110" t="str">
        <f>IF(D42="","",IF(AND(D46="",D50&lt;&gt;"",AV45=AV53),AT51,IF(AND(D46="",D50="",D54&lt;&gt;"",AV49=AV57),AT55,IF(AND(D46="",D50="",D54="",D178&lt;&gt;"",AV53=AV181),AT179,IF(AND(D46="",D50="",D54="",D178="",D182&lt;&gt;"",AV57=AV185),AT183,IF(AND(D46="",D50="",D54="",D178="",D182="",D186&lt;&gt;"",AV181=AV189),AT187,IF(AND(D46="",D50="",D54="",D178="",D182="",D186="",#REF!&lt;&gt;"",AV185=#REF!),#REF!,"")))))))</f>
        <v/>
      </c>
      <c r="AV43" s="109" t="str">
        <f>IF(L42="発電機",IF(ISNA(VLOOKUP(L44,ＡＣＧ,3,FALSE)),0,VLOOKUP(L44,ＡＣＧ,3,FALSE)*BA45/50),"")</f>
        <v/>
      </c>
      <c r="AW43" s="111" t="str">
        <f>IF(AT43="","",(AT43-AP42*(AT42^2+AT43^2))/((AT42*AP42)^2+(AP42*AT43-1)^2))</f>
        <v/>
      </c>
      <c r="AX43" s="112"/>
      <c r="AY43" s="113">
        <f>IF(N(AY45)=10^30,10^30,IF(N(AY49)=10^30,(N(AY45)*(N(AY48)^2+N(AY49)^2)+N(AY49)*(N(AY44)^2+N(AY45)^2))/((N(AY44)+N(AY48))^2+(N(AY45)+N(AY49))^2),(N(AY45)*(N(AY46)^2+N(AY47)^2)+N(AY47)*(N(AY44)^2+N(AY45)^2))/((N(AY44)+N(AY46))^2+(N(AY45)+N(AY47))^2)))</f>
        <v>1E+30</v>
      </c>
      <c r="AZ43" s="52"/>
      <c r="BA43" s="114">
        <f>IF(AND(H42="",SUM(S42:S45)&lt;&gt;0),BA39,H42)</f>
        <v>0</v>
      </c>
      <c r="BB43" s="115">
        <f>IF(AND(BA42=3,S43&lt;&gt;""),1,0)</f>
        <v>0</v>
      </c>
      <c r="BC43" s="52"/>
      <c r="BD43" s="29"/>
      <c r="BE43" s="1"/>
      <c r="BF43" s="29" t="s">
        <v>138</v>
      </c>
      <c r="BH43" s="162"/>
      <c r="BI43" s="162"/>
      <c r="BJ43" s="4"/>
      <c r="BK43" s="4"/>
    </row>
    <row r="44" spans="2:63" ht="15" customHeight="1" x14ac:dyDescent="0.15">
      <c r="C44" s="245"/>
      <c r="D44" s="432"/>
      <c r="E44" s="448"/>
      <c r="F44" s="438"/>
      <c r="G44" s="438"/>
      <c r="H44" s="438"/>
      <c r="I44" s="438"/>
      <c r="J44" s="438"/>
      <c r="K44" s="439"/>
      <c r="L44" s="440"/>
      <c r="M44" s="441"/>
      <c r="N44" s="437"/>
      <c r="O44" s="171"/>
      <c r="P44" s="196"/>
      <c r="Q44" s="177"/>
      <c r="R44" s="173"/>
      <c r="S44" s="174" t="str">
        <f t="shared" si="1"/>
        <v/>
      </c>
      <c r="T44" s="175"/>
      <c r="U44" s="178" t="str">
        <f>IF(OR(BA44="",S44=""),"",S44*1000*T44/(SQRT(BA42)*BA44))</f>
        <v/>
      </c>
      <c r="V44" s="179" t="str">
        <f>IF(AND(N(U42)=0,N(U43)=0,N(U44)=0,N(U45)=0),"",V42*(P42*R42*T42+P43*R43*T43+P44*R44*T44+P45*R45*T45)/(P42*T42+P43*T43+P44*T44+P45*T45))</f>
        <v/>
      </c>
      <c r="W44" s="209" t="str">
        <f>IF(AND(N(AP44)=0,N(AP45)=0,N(AP43)=0),"",IF(AP45&gt;=0,COS(ATAN(AP45/AP44)),-COS(ATAN(AP45/AP44))))</f>
        <v/>
      </c>
      <c r="X44" s="180"/>
      <c r="Y44" s="181"/>
      <c r="Z44" s="182"/>
      <c r="AA44" s="183"/>
      <c r="AB44" s="184"/>
      <c r="AC44" s="181"/>
      <c r="AD44" s="182"/>
      <c r="AE44" s="185"/>
      <c r="AF44" s="136" t="str">
        <f>IF(OR(AF42="",AG38&lt;&gt;""),"",BA44/SQRT(AW44^2+AW45^2))</f>
        <v/>
      </c>
      <c r="AG44" s="205" t="str">
        <f>IF(AG42="","",100*((BA44/AQ43)-AG42)/(BA44/AQ43))</f>
        <v/>
      </c>
      <c r="AH44" s="206"/>
      <c r="AI44" s="208"/>
      <c r="AJ44" s="211"/>
      <c r="AK44" s="213"/>
      <c r="AL44" s="137"/>
      <c r="AM44" s="59"/>
      <c r="AN44" s="138" t="b">
        <f>IF(BA42="","",IF(AND(BA42=3,F44=50,L42="油入自冷"),VLOOKUP(L44,変３,2,FALSE),IF(AND(BA42=3,F44=50,L42="モ－ルド絶縁"),VLOOKUP(L44,変３,7,FALSE),IF(AND(BA42=3,F44=60,L42="油入自冷"),VLOOKUP(L44,変３,12,FALSE),IF(AND(BA42=3,F44=60,L42="モ－ルド絶縁"),VLOOKUP(L44,変３,17,FALSE),FALSE)))))</f>
        <v>0</v>
      </c>
      <c r="AO44" s="109" t="str">
        <f>IF(AND(L38="",N(AY42)&lt;10^29),AY42,"")</f>
        <v/>
      </c>
      <c r="AP44" s="139" t="str">
        <f>IF(V42="","",IF(AND(N(V44)=0,N(AP43)=0),"",AQ44/((AQ44*AP43)^2+(AP43*AQ45-1)^2)))</f>
        <v/>
      </c>
      <c r="AQ44" s="107">
        <f>IF(N(V44)=0,10^30,V44)</f>
        <v>1E+30</v>
      </c>
      <c r="AR44" s="109" t="str">
        <f>IF(AB42="","",IF(AB42="600V IV",VLOOKUP(AB44,ＩＶ,2,FALSE),IF(AB42="600V CV-T",VLOOKUP(AB44,ＣＶＴ,2,FALSE),IF(OR(AB42="600V CV-1C",AB42="600V CV-2C",AB42="600V CV-3C",AB42="600V CV-4C"),VLOOKUP(AB44,ＣＶ２３Ｃ,2,FALSE),VLOOKUP(AB44,ＣＵＳＥＲ,2,FALSE)))))</f>
        <v/>
      </c>
      <c r="AS44" s="107" t="str">
        <f>IF(OR(AND(AS46="",AS47=""),AND(D42="",D46&lt;&gt;"")),AS42,(AS42*(AT46^2+AT47^2)+AT46*(AS42^2+AS43^2))/((AS42+AT46)^2+(AS43+AT47)^2))</f>
        <v/>
      </c>
      <c r="AT44" s="110" t="str">
        <f>IF(X45="",AS44,N(AS44)+(X45/1000))</f>
        <v/>
      </c>
      <c r="AU44" s="110" t="str">
        <f>IF(AU42="","",(AT44*(AU42^2+AU43^2)+AU42*(AT44^2+AT45^2))/((AT44+AU42)^2+(AT45+AU43)^2))</f>
        <v/>
      </c>
      <c r="AV44" s="110">
        <f>IF(BA44=0,1,0)</f>
        <v>1</v>
      </c>
      <c r="AW44" s="111" t="str">
        <f>IF(AO44="","",AW42+AO44)</f>
        <v/>
      </c>
      <c r="AX44" s="112" t="str">
        <f>IF(AND(AX40="",AW44&lt;&gt;""),BA44*SQRT(AW42^2+AW43^2)/SQRT(AW44^2+AW45^2),IF(BA44&lt;&gt;0,AX40,""))</f>
        <v/>
      </c>
      <c r="AY44" s="140">
        <f>IF(L44="",10^30,SQRT(BA42)*(BA44^2)*(N(AN42)+N(AN44)+N(AO42)+N(AV42))/(100000*L44*M42))</f>
        <v>1E+30</v>
      </c>
      <c r="AZ44" s="141"/>
      <c r="BA44" s="114">
        <f>IF(AND(J42="",SUM(S42:S45)&lt;&gt;0),BA40,J42)</f>
        <v>0</v>
      </c>
      <c r="BB44" s="115">
        <f>IF(AND(BA42=3,S44&lt;&gt;""),1,0)</f>
        <v>0</v>
      </c>
      <c r="BC44" s="52"/>
      <c r="BD44" s="29"/>
      <c r="BE44" s="1"/>
      <c r="BF44" s="29" t="s">
        <v>139</v>
      </c>
      <c r="BH44" s="162"/>
      <c r="BI44" s="162"/>
      <c r="BJ44" s="4"/>
      <c r="BK44" s="4"/>
    </row>
    <row r="45" spans="2:63" ht="15" customHeight="1" x14ac:dyDescent="0.15">
      <c r="C45" s="245"/>
      <c r="D45" s="442"/>
      <c r="E45" s="449"/>
      <c r="F45" s="444"/>
      <c r="G45" s="444"/>
      <c r="H45" s="444"/>
      <c r="I45" s="444"/>
      <c r="J45" s="444"/>
      <c r="K45" s="445"/>
      <c r="L45" s="238" t="str">
        <f>IF(M42="","",L44*1000*M42/(SQRT(BA42)*BA44))</f>
        <v/>
      </c>
      <c r="M45" s="239"/>
      <c r="N45" s="446"/>
      <c r="O45" s="186"/>
      <c r="P45" s="197"/>
      <c r="Q45" s="187"/>
      <c r="R45" s="188"/>
      <c r="S45" s="189" t="str">
        <f t="shared" si="1"/>
        <v/>
      </c>
      <c r="T45" s="190"/>
      <c r="U45" s="191" t="str">
        <f>IF(OR(BA44="",S45=""),"",S45*1000*T45/(SQRT(BA42)*BA44))</f>
        <v/>
      </c>
      <c r="V45" s="192" t="str">
        <f>IF(AND(N(U42)=0,N(U43)=0,N(U44)=0,N(U45)=0),"",IF(V42&gt;=0,SQRT(ABS(V42^2-V44^2)),-SQRT(V42^2-V44^2)))</f>
        <v/>
      </c>
      <c r="W45" s="210"/>
      <c r="X45" s="215" t="str">
        <f>IF(Y44="","",AQ42*Z44*AR42*((1+0.00393*(F45-20))/1.2751)/Y44)</f>
        <v/>
      </c>
      <c r="Y45" s="216"/>
      <c r="Z45" s="217" t="str">
        <f>IF(Y44="","",(BA45/50)*AQ42*Z44*AR43/Y44)</f>
        <v/>
      </c>
      <c r="AA45" s="218"/>
      <c r="AB45" s="219" t="str">
        <f>IF(AC44="","",AQ42*AD44*AR44*((1+0.00393*(F45-20))/1.2751)/AC44)</f>
        <v/>
      </c>
      <c r="AC45" s="216"/>
      <c r="AD45" s="217" t="str">
        <f>IF(AC44="","",(BA45/50)*AQ42*AD44*AR45/AC44)</f>
        <v/>
      </c>
      <c r="AE45" s="242"/>
      <c r="AF45" s="150" t="str">
        <f>IF(AND(AX42&lt;&gt;"",D42=""),AX42,"")</f>
        <v/>
      </c>
      <c r="AG45" s="243" t="str">
        <f>IF(AP44="","",AP44)</f>
        <v/>
      </c>
      <c r="AH45" s="244"/>
      <c r="AI45" s="151" t="str">
        <f>IF(AP45="","",AP45)</f>
        <v/>
      </c>
      <c r="AJ45" s="212"/>
      <c r="AK45" s="214"/>
      <c r="AL45" s="152"/>
      <c r="AM45" s="59"/>
      <c r="AN45" s="153" t="b">
        <f>IF(BA42="","",IF(AND(BA42=3,F44=50,L42="油入自冷"),VLOOKUP(L44,変３,3,FALSE),IF(AND(BA42=3,F44=50,L42="モ－ルド絶縁"),VLOOKUP(L44,変３,8,FALSE),IF(AND(BA42=3,F44=60,L42="油入自冷"),VLOOKUP(L44,変３,13,FALSE),IF(AND(BA42=3,F44=60,L42="モ－ルド絶縁"),VLOOKUP(L44,変３,18,FALSE),FALSE)))))</f>
        <v>0</v>
      </c>
      <c r="AO45" s="153" t="str">
        <f>IF(AND(L38="",N(AY43)&lt;10^29),AY43,"")</f>
        <v/>
      </c>
      <c r="AP45" s="154" t="str">
        <f>IF(V42="","",IF(AND(N(V45)=0,N(AP43)=0),0,(AQ45-AP43*(AQ44^2+AQ45^2))/((AQ44*AP43)^2+(AP43*AQ45-1)^2)))</f>
        <v/>
      </c>
      <c r="AQ45" s="155">
        <f>IF(N(V45)=0,10^30,V45)</f>
        <v>1E+30</v>
      </c>
      <c r="AR45" s="153" t="str">
        <f>IF(AB42="","",IF(AB42="600V IV",VLOOKUP(AB44,ＩＶ,3,FALSE),IF(AB42="600V CV-T",VLOOKUP(AB44,ＣＶＴ,3,FALSE),IF(OR(AB42="600V CV-1C",AB42="600V CV-2C",AB42="600V CV-3C",AB42="600V CV-4C"),VLOOKUP(AB44,ＣＶ２３Ｃ,3,FALSE),VLOOKUP(AB44,ＣＵＳＥＲ,3,FALSE)))))</f>
        <v/>
      </c>
      <c r="AS45" s="155" t="str">
        <f>IF(OR(AND(AS46="",AS47=""),AND(D42="",D46&lt;&gt;"")),AS43,(AS43*(AT46^2+AT47^2)+AT47*(AS42^2+AS43^2))/((AS42+AT46)^2+(AS43+AT47)^2))</f>
        <v/>
      </c>
      <c r="AT45" s="156" t="str">
        <f>IF(Z45="",AS45,N(AS45)+(Z45/1000))</f>
        <v/>
      </c>
      <c r="AU45" s="156" t="str">
        <f>IF(AU43="","",(AT45*(AU42^2+AU43^2)+AU43*(AT44^2+AT45^2))/((AT44+AU42)^2+(AT45+AU43)^2))</f>
        <v/>
      </c>
      <c r="AV45" s="156">
        <f>AV41+AV44</f>
        <v>4</v>
      </c>
      <c r="AW45" s="155" t="str">
        <f>IF(AO45="","",AW43+AO45)</f>
        <v/>
      </c>
      <c r="AX45" s="157"/>
      <c r="AY45" s="140">
        <f>IF(L44="",10^30,SQRT(BA42)*(BA44^2)*(N(AN43)+N(AN45)+N(AO43)+N(AV43))/(100000*L44*M42))</f>
        <v>1E+30</v>
      </c>
      <c r="AZ45" s="141"/>
      <c r="BA45" s="114">
        <f>IF(AND(F44="",SUM(S42:S45)&lt;&gt;0),BA41,F44)</f>
        <v>0</v>
      </c>
      <c r="BB45" s="115">
        <f>IF(AND(BA42=3,S45&lt;&gt;""),1,0)</f>
        <v>0</v>
      </c>
      <c r="BC45" s="52"/>
      <c r="BD45" s="29"/>
      <c r="BE45" s="1"/>
      <c r="BF45" s="29" t="s">
        <v>140</v>
      </c>
      <c r="BH45" s="162"/>
      <c r="BI45" s="162"/>
      <c r="BJ45" s="4"/>
      <c r="BK45" s="4"/>
    </row>
    <row r="46" spans="2:63" ht="15" customHeight="1" x14ac:dyDescent="0.15">
      <c r="B46" s="159"/>
      <c r="C46" s="245" t="str">
        <f>IF(BH46=1,"●","・")</f>
        <v>・</v>
      </c>
      <c r="D46" s="425"/>
      <c r="E46" s="447"/>
      <c r="F46" s="427"/>
      <c r="G46" s="240" t="str">
        <f>IF(F46="","","φ")</f>
        <v/>
      </c>
      <c r="H46" s="428"/>
      <c r="I46" s="240" t="str">
        <f>IF(H46="","","W")</f>
        <v/>
      </c>
      <c r="J46" s="428"/>
      <c r="K46" s="246" t="str">
        <f>IF(J46="","","V")</f>
        <v/>
      </c>
      <c r="L46" s="429"/>
      <c r="M46" s="430"/>
      <c r="N46" s="431"/>
      <c r="O46" s="164"/>
      <c r="P46" s="194"/>
      <c r="Q46" s="165"/>
      <c r="R46" s="166"/>
      <c r="S46" s="167" t="str">
        <f>IF(R46="","",IF(Q46="",P46/R46,P46/(Q46*R46)))</f>
        <v/>
      </c>
      <c r="T46" s="168"/>
      <c r="U46" s="169" t="str">
        <f>IF(OR(BA48="",S46=""),"",S46*1000*T46/(SQRT(BA46)*BA48))</f>
        <v/>
      </c>
      <c r="V46" s="236" t="str">
        <f>IF(AND(N(U46)=0,N(U47)=0,N(U48)=0,N(U49)=0),"",BA48/(SUM(U46:U49)))</f>
        <v/>
      </c>
      <c r="W46" s="220"/>
      <c r="X46" s="222"/>
      <c r="Y46" s="223"/>
      <c r="Z46" s="224"/>
      <c r="AA46" s="228"/>
      <c r="AB46" s="230"/>
      <c r="AC46" s="223"/>
      <c r="AD46" s="224"/>
      <c r="AE46" s="232"/>
      <c r="AF46" s="104" t="str">
        <f>IF(OR(AND(AF42="",N(BA44)=0,BA48&lt;&gt;0),D46&lt;&gt;""),AX48/AQ47,"")</f>
        <v/>
      </c>
      <c r="AG46" s="234" t="str">
        <f>IF(BA48=0,"",IF(AD48="",AX46,IF(AND(D46&lt;&gt;"",AU46=""),AX48*SQRT(AP48^2+AP49^2)/SQRT(AS46^2+AS47^2)/AQ47,AX46*SQRT(AP48^2+AP49^2)/SQRT(AS46^2+AS47^2))))</f>
        <v/>
      </c>
      <c r="AH46" s="235"/>
      <c r="AI46" s="105" t="str">
        <f>IF(AG46="","",IF(N(U46)&lt;0,-AX46*AQ47/SQRT(AS46^2+AS47^2),AX46*AQ47/SQRT(AS46^2+AS47^2)))</f>
        <v/>
      </c>
      <c r="AJ46" s="201"/>
      <c r="AK46" s="202"/>
      <c r="AL46" s="106"/>
      <c r="AM46" s="59"/>
      <c r="AN46" s="107" t="b">
        <f>IF(BA46="","",IF(AND(BA46=1,F48=50,L46="油入自冷"),VLOOKUP(L48,変１,2,FALSE),IF(AND(BA46=1,F48=50,L46="モ－ルド絶縁"),VLOOKUP(L48,変１,7,FALSE),IF(AND(BA46=1,F48=60,L46="油入自冷"),VLOOKUP(L48,変１,12,FALSE),IF(AND(BA46=1,F48=60,L46="モ－ルド絶縁"),VLOOKUP(L48,変１,17,FALSE),FALSE)))))</f>
        <v>0</v>
      </c>
      <c r="AO46" s="107">
        <f>IF(ISNA(VLOOKUP(L48,変ＵＳＥＲ,2,FALSE)),0,VLOOKUP(L48,変ＵＳＥＲ,2,FALSE))</f>
        <v>0</v>
      </c>
      <c r="AP46" s="108">
        <f>IF(N46="",0,N46*1000/BA48^2/SQRT(BA46))</f>
        <v>0</v>
      </c>
      <c r="AQ46" s="107" t="b">
        <f>IF(BA46=1,2,IF(BA46=3,SQRT(3),FALSE))</f>
        <v>0</v>
      </c>
      <c r="AR46" s="109" t="str">
        <f>IF(X46="","",IF(X46="600V IV",VLOOKUP(X48,ＩＶ,2,FALSE),IF(X46="600V CV-T",VLOOKUP(X48,ＣＶＴ,2,FALSE),IF(OR(X46="600V CV-1C",X46="600V CV-2C",X46="600V CV-3C",X46="600V CV-4C"),VLOOKUP(X48,ＣＶ２３Ｃ,2,FALSE),VLOOKUP(X48,ＣＵＳＥＲ,2,FALSE)))))</f>
        <v/>
      </c>
      <c r="AS46" s="107" t="str">
        <f>IF(AB49="",AP48,AP48+(AB49/1000))</f>
        <v/>
      </c>
      <c r="AT46" s="110" t="str">
        <f>IF(AU48="",AT48,AU48)</f>
        <v/>
      </c>
      <c r="AU46" s="110" t="str">
        <f>IF(D46="","",IF(AND(D50="",D54&lt;&gt;"",AV49=AV57),AT54,IF(AND(D50="",D54="",D178&lt;&gt;"",AV53=AV181),AT178,IF(AND(D50="",D54="",D178="",D182&lt;&gt;"",AV57=AV185),AT182,IF(AND(D50="",D54="",D178="",D182="",D186&lt;&gt;"",AV181=AV189),AT186,IF(AND(D50="",D54="",D178="",D182="",D186="",#REF!&lt;&gt;"",AV185=#REF!),#REF!,IF(AND(D50="",D54="",D178="",D182="",D186="",#REF!="",D190&lt;&gt;"",AV189=AV193),AT190,"")))))))</f>
        <v/>
      </c>
      <c r="AV46" s="110" t="str">
        <f>IF(L46="発電機",IF(ISNA(VLOOKUP(L48,ＡＣＧ,2,FALSE)),0,VLOOKUP(L48,ＡＣＧ,2,FALSE)),"")</f>
        <v/>
      </c>
      <c r="AW46" s="111" t="str">
        <f>IF(AT46="","",AT46/((AT46*AP46)^2+(AT47*AP46-1)^2))</f>
        <v/>
      </c>
      <c r="AX46" s="112" t="str">
        <f>IF(BA48=0,"",IF(OR(AX42="",AF46&lt;&gt;""),AF46*SQRT(AS48^2+AS49^2)/SQRT(AT48^2+AT49^2),AX42*SQRT(AS48^2+AS49^2)/SQRT(AT48^2+AT49^2)))</f>
        <v/>
      </c>
      <c r="AY46" s="113">
        <f>IF(N(AY48)=10^30,10^30,IF(N(AY52)=10^30,(N(AY48)*(N(AY52)^2+N(AY53)^2)+N(AY52)*(N(AY48)^2+N(AY49)^2))/((N(AY48)+N(AY52))^2+(N(AY49)+N(AY53))^2),(N(AY48)*(N(AY50)^2+N(AY51)^2)+N(AY50)*(N(AY48)^2+N(AY49)^2))/((N(AY48)+N(AY50))^2+(N(AY49)+N(AY51))^2)))</f>
        <v>1E+30</v>
      </c>
      <c r="AZ46" s="52"/>
      <c r="BA46" s="114">
        <f>IF(AND(F46="",SUM(S46:S49)&lt;&gt;0),BA42,F46)</f>
        <v>0</v>
      </c>
      <c r="BB46" s="115">
        <f>IF(AND(BA46=3,S46&lt;&gt;""),1,0)</f>
        <v>0</v>
      </c>
      <c r="BC46" s="52"/>
      <c r="BD46" s="29"/>
      <c r="BE46" s="1"/>
      <c r="BF46" s="29" t="s">
        <v>141</v>
      </c>
      <c r="BH46" s="162">
        <f>IF(OR(E46="",F49="",AND(OR(P46="",Q46="",R46="",T46=""),OR(P47="",Q47="",R47="",T47=""),OR(P48="",Q48="",R48="",T48=""),OR(P49="",Q49="",R49="",T49="")),AND(OR(X46="",X48="",Y48="",Z48=""),OR(AB46="",AB48="",AC48="",AD48=""))),0,1)</f>
        <v>0</v>
      </c>
      <c r="BI46" s="162">
        <f>BH46+BI42</f>
        <v>4</v>
      </c>
      <c r="BJ46" s="4"/>
      <c r="BK46" s="4"/>
    </row>
    <row r="47" spans="2:63" ht="15" customHeight="1" x14ac:dyDescent="0.15">
      <c r="B47" s="159"/>
      <c r="C47" s="245"/>
      <c r="D47" s="432"/>
      <c r="E47" s="448"/>
      <c r="F47" s="434"/>
      <c r="G47" s="241"/>
      <c r="H47" s="435"/>
      <c r="I47" s="241"/>
      <c r="J47" s="435"/>
      <c r="K47" s="247"/>
      <c r="L47" s="436"/>
      <c r="M47" s="170" t="str">
        <f>IF(L46="発電機",SQRT(AV46^2+AV47^2),IF(L48="","",IF(OR(L46="油入自冷",L46="モ－ルド絶縁"),IF(BA46=1,SQRT(AN46^2+AN47^2),IF(BA46=3,SQRT(AN48^2+AN49^2))),SQRT(AO46^2+AO47^2))))</f>
        <v/>
      </c>
      <c r="N47" s="437"/>
      <c r="O47" s="171"/>
      <c r="P47" s="195"/>
      <c r="Q47" s="172"/>
      <c r="R47" s="173"/>
      <c r="S47" s="174" t="str">
        <f t="shared" si="1"/>
        <v/>
      </c>
      <c r="T47" s="175"/>
      <c r="U47" s="176" t="str">
        <f>IF(OR(BA48="",S47=""),"",S47*1000*T47/(SQRT(BA46)*BA48))</f>
        <v/>
      </c>
      <c r="V47" s="237"/>
      <c r="W47" s="221"/>
      <c r="X47" s="225"/>
      <c r="Y47" s="226"/>
      <c r="Z47" s="227"/>
      <c r="AA47" s="229"/>
      <c r="AB47" s="231"/>
      <c r="AC47" s="226"/>
      <c r="AD47" s="227"/>
      <c r="AE47" s="233"/>
      <c r="AF47" s="124" t="str">
        <f>IF(OR(AF46="",AG42&lt;&gt;""),"",AF46*AQ47/SQRT(AT46^2+AT47^2))</f>
        <v/>
      </c>
      <c r="AG47" s="205" t="str">
        <f>IF(AG46="","",100*AG46*AQ47/BA48)</f>
        <v/>
      </c>
      <c r="AH47" s="206"/>
      <c r="AI47" s="207" t="str">
        <f>IF(BA48=0,"",IF(AI42="",AX48/SQRT(AT46^2+AT47^2),IF(AI50="","",IF(AT46&lt;0,-AX46*AQ43/SQRT(AT46^2+AT47^2),AX46*AQ43/SQRT(AT46^2+AT47^2)))))</f>
        <v/>
      </c>
      <c r="AJ47" s="203"/>
      <c r="AK47" s="204"/>
      <c r="AL47" s="125"/>
      <c r="AM47" s="59"/>
      <c r="AN47" s="107" t="b">
        <f>IF(BA46="","",IF(AND(BA46=1,F48=50,L46="油入自冷"),VLOOKUP(L48,変１,3,FALSE),IF(AND(BA46=1,F48=50,L46="モ－ルド絶縁"),VLOOKUP(L48,変１,8,FALSE),IF(AND(BA46=1,F48=60,L46="油入自冷"),VLOOKUP(L48,変１,13,FALSE),IF(AND(BA46=1,F48=60,L46="モ－ルド絶縁"),VLOOKUP(L48,変１,18,FALSE),FALSE)))))</f>
        <v>0</v>
      </c>
      <c r="AO47" s="107">
        <f>IF(ISNA(VLOOKUP(L48,変ＵＳＥＲ,3,FALSE)),0,VLOOKUP(L48,変ＵＳＥＲ,3,FALSE)*BA49/50)</f>
        <v>0</v>
      </c>
      <c r="AP47" s="108">
        <f>IF(W46="",0,W46*1000/BA48^2/SQRT(BA46))</f>
        <v>0</v>
      </c>
      <c r="AQ47" s="107">
        <f>IF(AND(BA46=1,BA47=2),1,IF(AND(BA46=3,BA47=3),1,IF(AND(BA46=1,BA47=3),2,IF(AND(BA46=3,BA47=4)*OR(BB46=1,BB47=1,BB48=1,BB49=1),1,SQRT(3)))))</f>
        <v>1.7320508075688772</v>
      </c>
      <c r="AR47" s="109" t="str">
        <f>IF(X46="","",IF(X46="600V IV",VLOOKUP(X48,ＩＶ,3,FALSE),IF(X46="600V CV-T",VLOOKUP(X48,ＣＶＴ,3,FALSE),IF(OR(X46="600V CV-1C",X46="600V CV-2C",X46="600V CV-3C",X46="600V CV-4C"),VLOOKUP(X48,ＣＶ２３Ｃ,3,FALSE),VLOOKUP(X48,ＣＵＳＥＲ,3,FALSE)))))</f>
        <v/>
      </c>
      <c r="AS47" s="107" t="str">
        <f>IF(AD49="",AP49,AP49+(AD49/1000))</f>
        <v/>
      </c>
      <c r="AT47" s="110" t="str">
        <f>IF(AU49="",AT49,AU49)</f>
        <v/>
      </c>
      <c r="AU47" s="110" t="str">
        <f>IF(D46="","",IF(AND(D50="",D54&lt;&gt;"",AV49=AV57),AT55,IF(AND(D50="",D54="",D178&lt;&gt;"",AV53=AV181),AT179,IF(AND(D50="",D54="",D178="",D182&lt;&gt;"",AV57=AV185),AT183,IF(AND(D50="",D54="",D178="",D182="",D186&lt;&gt;"",AV181=AV189),AT187,IF(AND(D50="",D54="",D178="",D182="",D186="",#REF!&lt;&gt;"",AV185=#REF!),#REF!,IF(AND(D50="",D54="",D178="",D182="",D186="",#REF!="",D190&lt;&gt;"",AV189=AV193),AT191,"")))))))</f>
        <v/>
      </c>
      <c r="AV47" s="109" t="str">
        <f>IF(L46="発電機",IF(ISNA(VLOOKUP(L48,ＡＣＧ,3,FALSE)),0,VLOOKUP(L48,ＡＣＧ,3,FALSE)*BA49/50),"")</f>
        <v/>
      </c>
      <c r="AW47" s="111" t="str">
        <f>IF(AT47="","",(AT47-AP46*(AT46^2+AT47^2))/((AT46*AP46)^2+(AP46*AT47-1)^2))</f>
        <v/>
      </c>
      <c r="AX47" s="112"/>
      <c r="AY47" s="113">
        <f>IF(N(AY49)=10^30,10^30,IF(N(AY53)=10^30,(N(AY49)*(N(AY52)^2+N(AY53)^2)+N(AY53)*(N(AY48)^2+N(AY49)^2))/((N(AY48)+N(AY52))^2+(N(AY49)+N(AY53))^2),(N(AY49)*(N(AY50)^2+N(AY51)^2)+N(AY51)*(N(AY48)^2+N(AY49)^2))/((N(AY48)+N(AY50))^2+(N(AY49)+N(AY51))^2)))</f>
        <v>1E+30</v>
      </c>
      <c r="AZ47" s="52"/>
      <c r="BA47" s="114">
        <f>IF(AND(H46="",SUM(S46:S49)&lt;&gt;0),BA43,H46)</f>
        <v>0</v>
      </c>
      <c r="BB47" s="115">
        <f>IF(AND(BA46=3,S47&lt;&gt;""),1,0)</f>
        <v>0</v>
      </c>
      <c r="BC47" s="52"/>
      <c r="BD47" s="1"/>
      <c r="BE47" s="1"/>
      <c r="BF47" s="29" t="s">
        <v>142</v>
      </c>
      <c r="BH47" s="162"/>
      <c r="BI47" s="162"/>
      <c r="BJ47" s="4"/>
      <c r="BK47" s="4"/>
    </row>
    <row r="48" spans="2:63" ht="15" customHeight="1" x14ac:dyDescent="0.15">
      <c r="B48" s="159"/>
      <c r="C48" s="245"/>
      <c r="D48" s="432"/>
      <c r="E48" s="448"/>
      <c r="F48" s="438"/>
      <c r="G48" s="438"/>
      <c r="H48" s="438"/>
      <c r="I48" s="438"/>
      <c r="J48" s="438"/>
      <c r="K48" s="439"/>
      <c r="L48" s="440"/>
      <c r="M48" s="441"/>
      <c r="N48" s="437"/>
      <c r="O48" s="171"/>
      <c r="P48" s="196"/>
      <c r="Q48" s="177"/>
      <c r="R48" s="173"/>
      <c r="S48" s="174" t="str">
        <f t="shared" si="1"/>
        <v/>
      </c>
      <c r="T48" s="175"/>
      <c r="U48" s="178" t="str">
        <f>IF(OR(BA48="",S48=""),"",S48*1000*T48/(SQRT(BA46)*BA48))</f>
        <v/>
      </c>
      <c r="V48" s="179" t="str">
        <f>IF(AND(N(U46)=0,N(U47)=0,N(U48)=0,N(U49)=0),"",V46*(P46*R46*T46+P47*R47*T47+P48*R48*T48+P49*R49*T49)/(P46*T46+P47*T47+P48*T48+P49*T49))</f>
        <v/>
      </c>
      <c r="W48" s="209" t="str">
        <f>IF(AND(N(AP48)=0,N(AP49)=0,N(AP47)=0),"",IF(AP49&gt;=0,COS(ATAN(AP49/AP48)),-COS(ATAN(AP49/AP48))))</f>
        <v/>
      </c>
      <c r="X48" s="180"/>
      <c r="Y48" s="181"/>
      <c r="Z48" s="182"/>
      <c r="AA48" s="183"/>
      <c r="AB48" s="184"/>
      <c r="AC48" s="181"/>
      <c r="AD48" s="182"/>
      <c r="AE48" s="185"/>
      <c r="AF48" s="136" t="str">
        <f>IF(OR(AF46="",AG42&lt;&gt;""),"",BA48/SQRT(AW48^2+AW49^2))</f>
        <v/>
      </c>
      <c r="AG48" s="205" t="str">
        <f>IF(AG46="","",100*((BA48/AQ47)-AG46)/(BA48/AQ47))</f>
        <v/>
      </c>
      <c r="AH48" s="206"/>
      <c r="AI48" s="208"/>
      <c r="AJ48" s="211"/>
      <c r="AK48" s="213"/>
      <c r="AL48" s="137"/>
      <c r="AM48" s="59"/>
      <c r="AN48" s="138" t="b">
        <f>IF(BA46="","",IF(AND(BA46=3,F48=50,L46="油入自冷"),VLOOKUP(L48,変３,2,FALSE),IF(AND(BA46=3,F48=50,L46="モ－ルド絶縁"),VLOOKUP(L48,変３,7,FALSE),IF(AND(BA46=3,F48=60,L46="油入自冷"),VLOOKUP(L48,変３,12,FALSE),IF(AND(BA46=3,F48=60,L46="モ－ルド絶縁"),VLOOKUP(L48,変３,17,FALSE),FALSE)))))</f>
        <v>0</v>
      </c>
      <c r="AO48" s="109" t="str">
        <f>IF(AND(L42="",N(AY46)&lt;10^29),AY46,"")</f>
        <v/>
      </c>
      <c r="AP48" s="139" t="str">
        <f>IF(V46="","",IF(AND(N(V48)=0,N(AP47)=0),"",AQ48/((AQ48*AP47)^2+(AP47*AQ49-1)^2)))</f>
        <v/>
      </c>
      <c r="AQ48" s="107">
        <f>IF(N(V48)=0,10^30,V48)</f>
        <v>1E+30</v>
      </c>
      <c r="AR48" s="109" t="str">
        <f>IF(AB46="","",IF(AB46="600V IV",VLOOKUP(AB48,ＩＶ,2,FALSE),IF(AB46="600V CV-T",VLOOKUP(AB48,ＣＶＴ,2,FALSE),IF(OR(AB46="600V CV-1C",AB46="600V CV-2C",AB46="600V CV-3C",AB46="600V CV-4C"),VLOOKUP(AB48,ＣＶ２３Ｃ,2,FALSE),VLOOKUP(AB48,ＣＵＳＥＲ,2,FALSE)))))</f>
        <v/>
      </c>
      <c r="AS48" s="107" t="str">
        <f>IF(OR(AND(AS50="",AS51=""),AND(D46="",D50&lt;&gt;"")),AS46,(AS46*(AT50^2+AT51^2)+AT50*(AS46^2+AS47^2))/((AS46+AT50)^2+(AS47+AT51)^2))</f>
        <v/>
      </c>
      <c r="AT48" s="110" t="str">
        <f>IF(X49="",AS48,N(AS48)+(X49/1000))</f>
        <v/>
      </c>
      <c r="AU48" s="110" t="str">
        <f>IF(AU46="","",(AT48*(AU46^2+AU47^2)+AU46*(AT48^2+AT49^2))/((AT48+AU46)^2+(AT49+AU47)^2))</f>
        <v/>
      </c>
      <c r="AV48" s="110">
        <f>IF(BA48=0,1,0)</f>
        <v>1</v>
      </c>
      <c r="AW48" s="111" t="str">
        <f>IF(AO48="","",AW46+AO48)</f>
        <v/>
      </c>
      <c r="AX48" s="112" t="str">
        <f>IF(AND(AX44="",AW48&lt;&gt;""),BA48*SQRT(AW46^2+AW47^2)/SQRT(AW48^2+AW49^2),IF(BA48&lt;&gt;0,AX44,""))</f>
        <v/>
      </c>
      <c r="AY48" s="140">
        <f>IF(L48="",10^30,SQRT(BA46)*(BA48^2)*(N(AN46)+N(AN48)+N(AO46)+N(AV46))/(100000*L48*M46))</f>
        <v>1E+30</v>
      </c>
      <c r="AZ48" s="141"/>
      <c r="BA48" s="114">
        <f>IF(AND(J46="",SUM(S46:S49)&lt;&gt;0),BA44,J46)</f>
        <v>0</v>
      </c>
      <c r="BB48" s="115">
        <f>IF(AND(BA46=3,S48&lt;&gt;""),1,0)</f>
        <v>0</v>
      </c>
      <c r="BC48" s="52"/>
      <c r="BD48" s="1"/>
      <c r="BE48" s="1"/>
      <c r="BF48" s="29" t="s">
        <v>143</v>
      </c>
      <c r="BH48" s="162"/>
      <c r="BI48" s="162"/>
      <c r="BJ48" s="4"/>
      <c r="BK48" s="4"/>
    </row>
    <row r="49" spans="1:63" ht="15" customHeight="1" x14ac:dyDescent="0.15">
      <c r="A49" s="159"/>
      <c r="B49" s="159"/>
      <c r="C49" s="245"/>
      <c r="D49" s="442"/>
      <c r="E49" s="449"/>
      <c r="F49" s="444"/>
      <c r="G49" s="444"/>
      <c r="H49" s="444"/>
      <c r="I49" s="444"/>
      <c r="J49" s="444"/>
      <c r="K49" s="445"/>
      <c r="L49" s="238" t="str">
        <f>IF(M46="","",L48*1000*M46/(SQRT(BA46)*BA48))</f>
        <v/>
      </c>
      <c r="M49" s="239"/>
      <c r="N49" s="446"/>
      <c r="O49" s="186"/>
      <c r="P49" s="197"/>
      <c r="Q49" s="187"/>
      <c r="R49" s="188"/>
      <c r="S49" s="189" t="str">
        <f t="shared" si="1"/>
        <v/>
      </c>
      <c r="T49" s="190"/>
      <c r="U49" s="191" t="str">
        <f>IF(OR(BA48="",S49=""),"",S49*1000*T49/(SQRT(BA46)*BA48))</f>
        <v/>
      </c>
      <c r="V49" s="192" t="str">
        <f>IF(AND(N(U46)=0,N(U47)=0,N(U48)=0,N(U49)=0),"",IF(V46&gt;=0,SQRT(ABS(V46^2-V48^2)),-SQRT(V46^2-V48^2)))</f>
        <v/>
      </c>
      <c r="W49" s="210"/>
      <c r="X49" s="215" t="str">
        <f>IF(Y48="","",AQ46*Z48*AR46*((1+0.00393*(F49-20))/1.2751)/Y48)</f>
        <v/>
      </c>
      <c r="Y49" s="216"/>
      <c r="Z49" s="217" t="str">
        <f>IF(Y48="","",(BA49/50)*AQ46*Z48*AR47/Y48)</f>
        <v/>
      </c>
      <c r="AA49" s="218"/>
      <c r="AB49" s="219" t="str">
        <f>IF(AC48="","",AQ46*AD48*AR48*((1+0.00393*(F49-20))/1.2751)/AC48)</f>
        <v/>
      </c>
      <c r="AC49" s="216"/>
      <c r="AD49" s="217" t="str">
        <f>IF(AC48="","",(BA49/50)*AQ46*AD48*AR49/AC48)</f>
        <v/>
      </c>
      <c r="AE49" s="242"/>
      <c r="AF49" s="150" t="str">
        <f>IF(AND(AX46&lt;&gt;"",D46=""),AX46,"")</f>
        <v/>
      </c>
      <c r="AG49" s="243" t="str">
        <f>IF(AP48="","",AP48)</f>
        <v/>
      </c>
      <c r="AH49" s="244"/>
      <c r="AI49" s="151" t="str">
        <f>IF(AP49="","",AP49)</f>
        <v/>
      </c>
      <c r="AJ49" s="212"/>
      <c r="AK49" s="214"/>
      <c r="AL49" s="152"/>
      <c r="AM49" s="59"/>
      <c r="AN49" s="153" t="b">
        <f>IF(BA46="","",IF(AND(BA46=3,F48=50,L46="油入自冷"),VLOOKUP(L48,変３,3,FALSE),IF(AND(BA46=3,F48=50,L46="モ－ルド絶縁"),VLOOKUP(L48,変３,8,FALSE),IF(AND(BA46=3,F48=60,L46="油入自冷"),VLOOKUP(L48,変３,13,FALSE),IF(AND(BA46=3,F48=60,L46="モ－ルド絶縁"),VLOOKUP(L48,変３,18,FALSE),FALSE)))))</f>
        <v>0</v>
      </c>
      <c r="AO49" s="153" t="str">
        <f>IF(AND(L42="",N(AY47)&lt;10^29),AY47,"")</f>
        <v/>
      </c>
      <c r="AP49" s="154" t="str">
        <f>IF(V46="","",IF(AND(N(V49)=0,N(AP47)=0),0,(AQ49-AP47*(AQ48^2+AQ49^2))/((AQ48*AP47)^2+(AP47*AQ49-1)^2)))</f>
        <v/>
      </c>
      <c r="AQ49" s="155">
        <f>IF(N(V49)=0,10^30,V49)</f>
        <v>1E+30</v>
      </c>
      <c r="AR49" s="153" t="str">
        <f>IF(AB46="","",IF(AB46="600V IV",VLOOKUP(AB48,ＩＶ,3,FALSE),IF(AB46="600V CV-T",VLOOKUP(AB48,ＣＶＴ,3,FALSE),IF(OR(AB46="600V CV-1C",AB46="600V CV-2C",AB46="600V CV-3C",AB46="600V CV-4C"),VLOOKUP(AB48,ＣＶ２３Ｃ,3,FALSE),VLOOKUP(AB48,ＣＵＳＥＲ,3,FALSE)))))</f>
        <v/>
      </c>
      <c r="AS49" s="155" t="str">
        <f>IF(OR(AND(AS50="",AS51=""),AND(D46="",D50&lt;&gt;"")),AS47,(AS47*(AT50^2+AT51^2)+AT51*(AS46^2+AS47^2))/((AS46+AT50)^2+(AS47+AT51)^2))</f>
        <v/>
      </c>
      <c r="AT49" s="156" t="str">
        <f>IF(Z49="",AS49,N(AS49)+(Z49/1000))</f>
        <v/>
      </c>
      <c r="AU49" s="156" t="str">
        <f>IF(AU47="","",(AT49*(AU46^2+AU47^2)+AU47*(AT48^2+AT49^2))/((AT48+AU46)^2+(AT49+AU47)^2))</f>
        <v/>
      </c>
      <c r="AV49" s="156">
        <f>AV45+AV48</f>
        <v>5</v>
      </c>
      <c r="AW49" s="155" t="str">
        <f>IF(AO49="","",AW47+AO49)</f>
        <v/>
      </c>
      <c r="AX49" s="157"/>
      <c r="AY49" s="140">
        <f>IF(L48="",10^30,SQRT(BA46)*(BA48^2)*(N(AN47)+N(AN49)+N(AO47)+N(AV47))/(100000*L48*M46))</f>
        <v>1E+30</v>
      </c>
      <c r="AZ49" s="141"/>
      <c r="BA49" s="114">
        <f>IF(AND(F48="",SUM(S46:S49)&lt;&gt;0),BA45,F48)</f>
        <v>0</v>
      </c>
      <c r="BB49" s="115">
        <f>IF(AND(BA46=3,S49&lt;&gt;""),1,0)</f>
        <v>0</v>
      </c>
      <c r="BC49" s="52"/>
      <c r="BD49" s="1"/>
      <c r="BE49" s="1"/>
      <c r="BF49" s="29" t="s">
        <v>144</v>
      </c>
      <c r="BH49" s="162"/>
      <c r="BI49" s="162"/>
      <c r="BJ49" s="4"/>
      <c r="BK49" s="4"/>
    </row>
    <row r="50" spans="1:63" ht="15" customHeight="1" x14ac:dyDescent="0.15">
      <c r="A50" s="159"/>
      <c r="B50" s="159"/>
      <c r="C50" s="245" t="str">
        <f>IF(BH50=1,"●","・")</f>
        <v>・</v>
      </c>
      <c r="D50" s="425"/>
      <c r="E50" s="447"/>
      <c r="F50" s="427"/>
      <c r="G50" s="240" t="str">
        <f>IF(F50="","","φ")</f>
        <v/>
      </c>
      <c r="H50" s="428"/>
      <c r="I50" s="240" t="str">
        <f>IF(H50="","","W")</f>
        <v/>
      </c>
      <c r="J50" s="428"/>
      <c r="K50" s="246" t="str">
        <f>IF(J50="","","V")</f>
        <v/>
      </c>
      <c r="L50" s="429"/>
      <c r="M50" s="430"/>
      <c r="N50" s="431"/>
      <c r="O50" s="164"/>
      <c r="P50" s="194"/>
      <c r="Q50" s="165"/>
      <c r="R50" s="166"/>
      <c r="S50" s="167" t="str">
        <f>IF(R50="","",IF(Q50="",P50/R50,P50/(Q50*R50)))</f>
        <v/>
      </c>
      <c r="T50" s="168"/>
      <c r="U50" s="169" t="str">
        <f>IF(OR(BA52="",S50=""),"",S50*1000*T50/(SQRT(BA50)*BA52))</f>
        <v/>
      </c>
      <c r="V50" s="236" t="str">
        <f>IF(AND(N(U50)=0,N(U51)=0,N(U52)=0,N(U53)=0),"",BA52/(SUM(U50:U53)))</f>
        <v/>
      </c>
      <c r="W50" s="220"/>
      <c r="X50" s="222"/>
      <c r="Y50" s="223"/>
      <c r="Z50" s="224"/>
      <c r="AA50" s="228"/>
      <c r="AB50" s="230"/>
      <c r="AC50" s="223"/>
      <c r="AD50" s="224"/>
      <c r="AE50" s="232"/>
      <c r="AF50" s="104" t="str">
        <f>IF(OR(AND(AF46="",N(BA48)=0,BA52&lt;&gt;0),D50&lt;&gt;""),AX52/AQ51,"")</f>
        <v/>
      </c>
      <c r="AG50" s="234" t="str">
        <f>IF(BA52=0,"",IF(AD52="",AX50,IF(AND(D50&lt;&gt;"",AU50=""),AX52*SQRT(AP52^2+AP53^2)/SQRT(AS50^2+AS51^2)/AQ51,AX50*SQRT(AP52^2+AP53^2)/SQRT(AS50^2+AS51^2))))</f>
        <v/>
      </c>
      <c r="AH50" s="235"/>
      <c r="AI50" s="105" t="str">
        <f>IF(AG50="","",IF(N(U50)&lt;0,-AX50*AQ51/SQRT(AS50^2+AS51^2),AX50*AQ51/SQRT(AS50^2+AS51^2)))</f>
        <v/>
      </c>
      <c r="AJ50" s="201"/>
      <c r="AK50" s="202"/>
      <c r="AL50" s="106"/>
      <c r="AM50" s="59"/>
      <c r="AN50" s="107" t="b">
        <f>IF(BA50="","",IF(AND(BA50=1,F52=50,L50="油入自冷"),VLOOKUP(L52,変１,2,FALSE),IF(AND(BA50=1,F52=50,L50="モ－ルド絶縁"),VLOOKUP(L52,変１,7,FALSE),IF(AND(BA50=1,F52=60,L50="油入自冷"),VLOOKUP(L52,変１,12,FALSE),IF(AND(BA50=1,F52=60,L50="モ－ルド絶縁"),VLOOKUP(L52,変１,17,FALSE),FALSE)))))</f>
        <v>0</v>
      </c>
      <c r="AO50" s="107">
        <f>IF(ISNA(VLOOKUP(L52,変ＵＳＥＲ,2,FALSE)),0,VLOOKUP(L52,変ＵＳＥＲ,2,FALSE))</f>
        <v>0</v>
      </c>
      <c r="AP50" s="108">
        <f>IF(N50="",0,N50*1000/BA52^2/SQRT(BA50))</f>
        <v>0</v>
      </c>
      <c r="AQ50" s="107" t="b">
        <f>IF(BA50=1,2,IF(BA50=3,SQRT(3),FALSE))</f>
        <v>0</v>
      </c>
      <c r="AR50" s="109" t="str">
        <f>IF(X50="","",IF(X50="600V IV",VLOOKUP(X52,ＩＶ,2,FALSE),IF(X50="600V CV-T",VLOOKUP(X52,ＣＶＴ,2,FALSE),IF(OR(X50="600V CV-1C",X50="600V CV-2C",X50="600V CV-3C",X50="600V CV-4C"),VLOOKUP(X52,ＣＶ２３Ｃ,2,FALSE),VLOOKUP(X52,ＣＵＳＥＲ,2,FALSE)))))</f>
        <v/>
      </c>
      <c r="AS50" s="107" t="str">
        <f>IF(AB53="",AP52,AP52+(AB53/1000))</f>
        <v/>
      </c>
      <c r="AT50" s="110" t="str">
        <f>IF(AU52="",AT52,AU52)</f>
        <v/>
      </c>
      <c r="AU50" s="110" t="str">
        <f>IF(D50="","",IF(AND(D54="",D178&lt;&gt;"",AV53=AV181),AT178,IF(AND(D54="",D178="",D182&lt;&gt;"",AV57=AV185),AT182,IF(AND(D54="",D178="",D182="",D186&lt;&gt;"",AV181=AV189),AT186,IF(AND(D54="",D178="",D182="",D186="",#REF!&lt;&gt;"",AV185=#REF!),#REF!,IF(AND(D54="",D178="",D182="",D186="",#REF!="",D190&lt;&gt;"",AV189=AV193),AT190,IF(AND(D54="",D178="",D182="",D186="",#REF!="",D190="",D194&lt;&gt;"",#REF!=AV197),AT194,"")))))))</f>
        <v/>
      </c>
      <c r="AV50" s="110" t="str">
        <f>IF(L50="発電機",IF(ISNA(VLOOKUP(L52,ＡＣＧ,2,FALSE)),0,VLOOKUP(L52,ＡＣＧ,2,FALSE)),"")</f>
        <v/>
      </c>
      <c r="AW50" s="111" t="str">
        <f>IF(AT50="","",AT50/((AT50*AP50)^2+(AT51*AP50-1)^2))</f>
        <v/>
      </c>
      <c r="AX50" s="112" t="str">
        <f>IF(BA52=0,"",IF(OR(AX46="",AF50&lt;&gt;""),AF50*SQRT(AS52^2+AS53^2)/SQRT(AT52^2+AT53^2),AX46*SQRT(AS52^2+AS53^2)/SQRT(AT52^2+AT53^2)))</f>
        <v/>
      </c>
      <c r="AY50" s="113">
        <f>IF(N(AY52)=10^30,10^30,IF(N(AY56)=10^30,(N(AY52)*(N(AY56)^2+N(AY57)^2)+N(AY56)*(N(AY52)^2+N(AY53)^2))/((N(AY52)+N(AY56))^2+(N(AY53)+N(AY57))^2),(N(AY52)*(N(AY54)^2+N(AY55)^2)+N(AY54)*(N(AY52)^2+N(AY53)^2))/((N(AY52)+N(AY54))^2+(N(AY53)+N(AY55))^2)))</f>
        <v>1E+30</v>
      </c>
      <c r="AZ50" s="52"/>
      <c r="BA50" s="114">
        <f>IF(AND(F50="",SUM(S50:S53)&lt;&gt;0),BA46,F50)</f>
        <v>0</v>
      </c>
      <c r="BB50" s="115">
        <f>IF(AND(BA50=3,S50&lt;&gt;""),1,0)</f>
        <v>0</v>
      </c>
      <c r="BC50" s="52"/>
      <c r="BD50" s="1"/>
      <c r="BE50" s="1"/>
      <c r="BF50" s="29"/>
      <c r="BH50" s="162">
        <f>IF(OR(E50="",F53="",AND(OR(P50="",Q50="",R50="",T50=""),OR(P51="",Q51="",R51="",T51=""),OR(P52="",Q52="",R52="",T52=""),OR(P53="",Q53="",R53="",T53="")),AND(OR(X50="",X52="",Y52="",Z52=""),OR(AB50="",AB52="",AC52="",AD52=""))),0,1)</f>
        <v>0</v>
      </c>
      <c r="BI50" s="162">
        <f>BH50+BI46</f>
        <v>4</v>
      </c>
      <c r="BJ50" s="4"/>
      <c r="BK50" s="4"/>
    </row>
    <row r="51" spans="1:63" ht="15" customHeight="1" x14ac:dyDescent="0.15">
      <c r="A51" s="159"/>
      <c r="B51" s="159"/>
      <c r="C51" s="245"/>
      <c r="D51" s="432"/>
      <c r="E51" s="448"/>
      <c r="F51" s="434"/>
      <c r="G51" s="241"/>
      <c r="H51" s="435"/>
      <c r="I51" s="241"/>
      <c r="J51" s="435"/>
      <c r="K51" s="247"/>
      <c r="L51" s="436"/>
      <c r="M51" s="170" t="str">
        <f>IF(L50="発電機",SQRT(AV50^2+AV51^2),IF(L52="","",IF(OR(L50="油入自冷",L50="モ－ルド絶縁"),IF(BA50=1,SQRT(AN50^2+AN51^2),IF(BA50=3,SQRT(AN52^2+AN53^2))),SQRT(AO50^2+AO51^2))))</f>
        <v/>
      </c>
      <c r="N51" s="437"/>
      <c r="O51" s="171"/>
      <c r="P51" s="195"/>
      <c r="Q51" s="172"/>
      <c r="R51" s="173"/>
      <c r="S51" s="174" t="str">
        <f t="shared" si="1"/>
        <v/>
      </c>
      <c r="T51" s="175"/>
      <c r="U51" s="176" t="str">
        <f>IF(OR(BA52="",S51=""),"",S51*1000*T51/(SQRT(BA50)*BA52))</f>
        <v/>
      </c>
      <c r="V51" s="237"/>
      <c r="W51" s="221"/>
      <c r="X51" s="225"/>
      <c r="Y51" s="226"/>
      <c r="Z51" s="227"/>
      <c r="AA51" s="229"/>
      <c r="AB51" s="231"/>
      <c r="AC51" s="226"/>
      <c r="AD51" s="227"/>
      <c r="AE51" s="233"/>
      <c r="AF51" s="124" t="str">
        <f>IF(OR(AF50="",AG46&lt;&gt;""),"",AF50*AQ51/SQRT(AT50^2+AT51^2))</f>
        <v/>
      </c>
      <c r="AG51" s="205" t="str">
        <f>IF(AG50="","",100*AG50*AQ51/BA52)</f>
        <v/>
      </c>
      <c r="AH51" s="206"/>
      <c r="AI51" s="207" t="str">
        <f>IF(BA52=0,"",IF(AI46="",AX52/SQRT(AT50^2+AT51^2),IF(AI54="","",IF(AT50&lt;0,-AX50*AQ47/SQRT(AT50^2+AT51^2),AX50*AQ47/SQRT(AT50^2+AT51^2)))))</f>
        <v/>
      </c>
      <c r="AJ51" s="203"/>
      <c r="AK51" s="204"/>
      <c r="AL51" s="125"/>
      <c r="AM51" s="59"/>
      <c r="AN51" s="107" t="b">
        <f>IF(BA50="","",IF(AND(BA50=1,F52=50,L50="油入自冷"),VLOOKUP(L52,変１,3,FALSE),IF(AND(BA50=1,F52=50,L50="モ－ルド絶縁"),VLOOKUP(L52,変１,8,FALSE),IF(AND(BA50=1,F52=60,L50="油入自冷"),VLOOKUP(L52,変１,13,FALSE),IF(AND(BA50=1,F52=60,L50="モ－ルド絶縁"),VLOOKUP(L52,変１,18,FALSE),FALSE)))))</f>
        <v>0</v>
      </c>
      <c r="AO51" s="107">
        <f>IF(ISNA(VLOOKUP(L52,変ＵＳＥＲ,3,FALSE)),0,VLOOKUP(L52,変ＵＳＥＲ,3,FALSE)*BA53/50)</f>
        <v>0</v>
      </c>
      <c r="AP51" s="108">
        <f>IF(W50="",0,W50*1000/BA52^2/SQRT(BA50))</f>
        <v>0</v>
      </c>
      <c r="AQ51" s="107">
        <f>IF(AND(BA50=1,BA51=2),1,IF(AND(BA50=3,BA51=3),1,IF(AND(BA50=1,BA51=3),2,IF(AND(BA50=3,BA51=4)*OR(BB50=1,BB51=1,BB52=1,BB53=1),1,SQRT(3)))))</f>
        <v>1.7320508075688772</v>
      </c>
      <c r="AR51" s="109" t="str">
        <f>IF(X50="","",IF(X50="600V IV",VLOOKUP(X52,ＩＶ,3,FALSE),IF(X50="600V CV-T",VLOOKUP(X52,ＣＶＴ,3,FALSE),IF(OR(X50="600V CV-1C",X50="600V CV-2C",X50="600V CV-3C",X50="600V CV-4C"),VLOOKUP(X52,ＣＶ２３Ｃ,3,FALSE),VLOOKUP(X52,ＣＵＳＥＲ,3,FALSE)))))</f>
        <v/>
      </c>
      <c r="AS51" s="107" t="str">
        <f>IF(AD53="",AP53,AP53+(AD53/1000))</f>
        <v/>
      </c>
      <c r="AT51" s="110" t="str">
        <f>IF(AU53="",AT53,AU53)</f>
        <v/>
      </c>
      <c r="AU51" s="110" t="str">
        <f>IF(D50="","",IF(AND(D54="",D178&lt;&gt;"",AV53=AV181),AT179,IF(AND(D54="",D178="",D182&lt;&gt;"",AV57=AV185),AT183,IF(AND(D54="",D178="",D182="",D186&lt;&gt;"",AV181=AV189),AT187,IF(AND(D54="",D178="",D182="",D186="",#REF!&lt;&gt;"",AV185=#REF!),#REF!,IF(AND(D54="",D178="",D182="",D186="",#REF!="",D190&lt;&gt;"",AV189=AV193),AT191,IF(AND(D54="",D178="",D182="",D186="",#REF!="",D190="",D194&lt;&gt;"",#REF!=AV197),AT195,"")))))))</f>
        <v/>
      </c>
      <c r="AV51" s="109" t="str">
        <f>IF(L50="発電機",IF(ISNA(VLOOKUP(L52,ＡＣＧ,3,FALSE)),0,VLOOKUP(L52,ＡＣＧ,3,FALSE)*BA53/50),"")</f>
        <v/>
      </c>
      <c r="AW51" s="111" t="str">
        <f>IF(AT51="","",(AT51-AP50*(AT50^2+AT51^2))/((AT50*AP50)^2+(AP50*AT51-1)^2))</f>
        <v/>
      </c>
      <c r="AX51" s="112"/>
      <c r="AY51" s="113">
        <f>IF(N(AY53)=10^30,10^30,IF(N(AY57)=10^30,(N(AY53)*(N(AY56)^2+N(AY57)^2)+N(AY57)*(N(AY52)^2+N(AY53)^2))/((N(AY52)+N(AY56))^2+(N(AY53)+N(AY57))^2),(N(AY53)*(N(AY54)^2+N(AY55)^2)+N(AY55)*(N(AY52)^2+N(AY53)^2))/((N(AY52)+N(AY54))^2+(N(AY53)+N(AY55))^2)))</f>
        <v>1E+30</v>
      </c>
      <c r="AZ51" s="52"/>
      <c r="BA51" s="114">
        <f>IF(AND(H50="",SUM(S50:S53)&lt;&gt;0),BA47,H50)</f>
        <v>0</v>
      </c>
      <c r="BB51" s="115">
        <f>IF(AND(BA50=3,S51&lt;&gt;""),1,0)</f>
        <v>0</v>
      </c>
      <c r="BC51" s="52"/>
      <c r="BD51" s="1"/>
      <c r="BE51" s="1"/>
      <c r="BF51" s="29"/>
      <c r="BH51" s="162"/>
      <c r="BI51" s="162"/>
      <c r="BJ51" s="4"/>
      <c r="BK51" s="4"/>
    </row>
    <row r="52" spans="1:63" ht="15" customHeight="1" x14ac:dyDescent="0.15">
      <c r="A52" s="159"/>
      <c r="B52" s="159"/>
      <c r="C52" s="245"/>
      <c r="D52" s="432"/>
      <c r="E52" s="448"/>
      <c r="F52" s="438"/>
      <c r="G52" s="438"/>
      <c r="H52" s="438"/>
      <c r="I52" s="438"/>
      <c r="J52" s="438"/>
      <c r="K52" s="439"/>
      <c r="L52" s="440"/>
      <c r="M52" s="441"/>
      <c r="N52" s="437"/>
      <c r="O52" s="171"/>
      <c r="P52" s="196"/>
      <c r="Q52" s="177"/>
      <c r="R52" s="173"/>
      <c r="S52" s="174" t="str">
        <f t="shared" si="1"/>
        <v/>
      </c>
      <c r="T52" s="175"/>
      <c r="U52" s="178" t="str">
        <f>IF(OR(BA52="",S52=""),"",S52*1000*T52/(SQRT(BA50)*BA52))</f>
        <v/>
      </c>
      <c r="V52" s="179" t="str">
        <f>IF(AND(N(U50)=0,N(U51)=0,N(U52)=0,N(U53)=0),"",V50*(P50*R50*T50+P51*R51*T51+P52*R52*T52+P53*R53*T53)/(P50*T50+P51*T51+P52*T52+P53*T53))</f>
        <v/>
      </c>
      <c r="W52" s="209" t="str">
        <f>IF(AND(N(AP52)=0,N(AP53)=0,N(AP51)=0),"",IF(AP53&gt;=0,COS(ATAN(AP53/AP52)),-COS(ATAN(AP53/AP52))))</f>
        <v/>
      </c>
      <c r="X52" s="180"/>
      <c r="Y52" s="181"/>
      <c r="Z52" s="182"/>
      <c r="AA52" s="183"/>
      <c r="AB52" s="184"/>
      <c r="AC52" s="181"/>
      <c r="AD52" s="182"/>
      <c r="AE52" s="185"/>
      <c r="AF52" s="136" t="str">
        <f>IF(OR(AF50="",AG46&lt;&gt;""),"",BA52/SQRT(AW52^2+AW53^2))</f>
        <v/>
      </c>
      <c r="AG52" s="205" t="str">
        <f>IF(AG50="","",100*((BA52/AQ51)-AG50)/(BA52/AQ51))</f>
        <v/>
      </c>
      <c r="AH52" s="206"/>
      <c r="AI52" s="208"/>
      <c r="AJ52" s="211"/>
      <c r="AK52" s="213"/>
      <c r="AL52" s="137"/>
      <c r="AM52" s="59"/>
      <c r="AN52" s="138" t="b">
        <f>IF(BA50="","",IF(AND(BA50=3,F52=50,L50="油入自冷"),VLOOKUP(L52,変３,2,FALSE),IF(AND(BA50=3,F52=50,L50="モ－ルド絶縁"),VLOOKUP(L52,変３,7,FALSE),IF(AND(BA50=3,F52=60,L50="油入自冷"),VLOOKUP(L52,変３,12,FALSE),IF(AND(BA50=3,F52=60,L50="モ－ルド絶縁"),VLOOKUP(L52,変３,17,FALSE),FALSE)))))</f>
        <v>0</v>
      </c>
      <c r="AO52" s="109" t="str">
        <f>IF(AND(L46="",N(AY50)&lt;10^29),AY50,"")</f>
        <v/>
      </c>
      <c r="AP52" s="139" t="str">
        <f>IF(V50="","",IF(AND(N(V52)=0,N(AP51)=0),"",AQ52/((AQ52*AP51)^2+(AP51*AQ53-1)^2)))</f>
        <v/>
      </c>
      <c r="AQ52" s="107">
        <f>IF(N(V52)=0,10^30,V52)</f>
        <v>1E+30</v>
      </c>
      <c r="AR52" s="109" t="str">
        <f>IF(AB50="","",IF(AB50="600V IV",VLOOKUP(AB52,ＩＶ,2,FALSE),IF(AB50="600V CV-T",VLOOKUP(AB52,ＣＶＴ,2,FALSE),IF(OR(AB50="600V CV-1C",AB50="600V CV-2C",AB50="600V CV-3C",AB50="600V CV-4C"),VLOOKUP(AB52,ＣＶ２３Ｃ,2,FALSE),VLOOKUP(AB52,ＣＵＳＥＲ,2,FALSE)))))</f>
        <v/>
      </c>
      <c r="AS52" s="107" t="str">
        <f>IF(OR(AND(AS54="",AS55=""),AND(D50="",D54&lt;&gt;"")),AS50,(AS50*(AT54^2+AT55^2)+AT54*(AS50^2+AS51^2))/((AS50+AT54)^2+(AS51+AT55)^2))</f>
        <v/>
      </c>
      <c r="AT52" s="110" t="str">
        <f>IF(X53="",AS52,N(AS52)+(X53/1000))</f>
        <v/>
      </c>
      <c r="AU52" s="110" t="str">
        <f>IF(AU50="","",(AT52*(AU50^2+AU51^2)+AU50*(AT52^2+AT53^2))/((AT52+AU50)^2+(AT53+AU51)^2))</f>
        <v/>
      </c>
      <c r="AV52" s="110">
        <f>IF(BA52=0,1,0)</f>
        <v>1</v>
      </c>
      <c r="AW52" s="111" t="str">
        <f>IF(AO52="","",AW50+AO52)</f>
        <v/>
      </c>
      <c r="AX52" s="112" t="str">
        <f>IF(AND(AX48="",AW52&lt;&gt;""),BA52*SQRT(AW50^2+AW51^2)/SQRT(AW52^2+AW53^2),IF(BA52&lt;&gt;0,AX48,""))</f>
        <v/>
      </c>
      <c r="AY52" s="140">
        <f>IF(L52="",10^30,SQRT(BA50)*(BA52^2)*(N(AN50)+N(AN52)+N(AO50)+N(AV50))/(100000*L52*M50))</f>
        <v>1E+30</v>
      </c>
      <c r="AZ52" s="141"/>
      <c r="BA52" s="114">
        <f>IF(AND(J50="",SUM(S50:S53)&lt;&gt;0),BA48,J50)</f>
        <v>0</v>
      </c>
      <c r="BB52" s="115">
        <f>IF(AND(BA50=3,S52&lt;&gt;""),1,0)</f>
        <v>0</v>
      </c>
      <c r="BC52" s="52"/>
      <c r="BD52" s="1"/>
      <c r="BE52" s="1"/>
      <c r="BF52" s="29"/>
      <c r="BH52" s="162"/>
      <c r="BI52" s="162"/>
      <c r="BJ52" s="4"/>
      <c r="BK52" s="4"/>
    </row>
    <row r="53" spans="1:63" ht="15" customHeight="1" x14ac:dyDescent="0.15">
      <c r="A53" s="159"/>
      <c r="B53" s="159"/>
      <c r="C53" s="245"/>
      <c r="D53" s="442"/>
      <c r="E53" s="449"/>
      <c r="F53" s="444"/>
      <c r="G53" s="444"/>
      <c r="H53" s="444"/>
      <c r="I53" s="444"/>
      <c r="J53" s="444"/>
      <c r="K53" s="445"/>
      <c r="L53" s="238" t="str">
        <f>IF(M50="","",L52*1000*M50/(SQRT(BA50)*BA52))</f>
        <v/>
      </c>
      <c r="M53" s="239"/>
      <c r="N53" s="446"/>
      <c r="O53" s="186"/>
      <c r="P53" s="197"/>
      <c r="Q53" s="187"/>
      <c r="R53" s="188"/>
      <c r="S53" s="189" t="str">
        <f t="shared" si="1"/>
        <v/>
      </c>
      <c r="T53" s="190"/>
      <c r="U53" s="191" t="str">
        <f>IF(OR(BA52="",S53=""),"",S53*1000*T53/(SQRT(BA50)*BA52))</f>
        <v/>
      </c>
      <c r="V53" s="192" t="str">
        <f>IF(AND(N(U50)=0,N(U51)=0,N(U52)=0,N(U53)=0),"",IF(V50&gt;=0,SQRT(ABS(V50^2-V52^2)),-SQRT(V50^2-V52^2)))</f>
        <v/>
      </c>
      <c r="W53" s="210"/>
      <c r="X53" s="215" t="str">
        <f>IF(Y52="","",AQ50*Z52*AR50*((1+0.00393*(F53-20))/1.2751)/Y52)</f>
        <v/>
      </c>
      <c r="Y53" s="216"/>
      <c r="Z53" s="217" t="str">
        <f>IF(Y52="","",(BA53/50)*AQ50*Z52*AR51/Y52)</f>
        <v/>
      </c>
      <c r="AA53" s="218"/>
      <c r="AB53" s="219" t="str">
        <f>IF(AC52="","",AQ50*AD52*AR52*((1+0.00393*(F53-20))/1.2751)/AC52)</f>
        <v/>
      </c>
      <c r="AC53" s="216"/>
      <c r="AD53" s="217" t="str">
        <f>IF(AC52="","",(BA53/50)*AQ50*AD52*AR53/AC52)</f>
        <v/>
      </c>
      <c r="AE53" s="242"/>
      <c r="AF53" s="150" t="str">
        <f>IF(AND(AX50&lt;&gt;"",D50=""),AX50,"")</f>
        <v/>
      </c>
      <c r="AG53" s="243" t="str">
        <f>IF(AP52="","",AP52)</f>
        <v/>
      </c>
      <c r="AH53" s="244"/>
      <c r="AI53" s="151" t="str">
        <f>IF(AP53="","",AP53)</f>
        <v/>
      </c>
      <c r="AJ53" s="212"/>
      <c r="AK53" s="214"/>
      <c r="AL53" s="152"/>
      <c r="AM53" s="59"/>
      <c r="AN53" s="153" t="b">
        <f>IF(BA50="","",IF(AND(BA50=3,F52=50,L50="油入自冷"),VLOOKUP(L52,変３,3,FALSE),IF(AND(BA50=3,F52=50,L50="モ－ルド絶縁"),VLOOKUP(L52,変３,8,FALSE),IF(AND(BA50=3,F52=60,L50="油入自冷"),VLOOKUP(L52,変３,13,FALSE),IF(AND(BA50=3,F52=60,L50="モ－ルド絶縁"),VLOOKUP(L52,変３,18,FALSE),FALSE)))))</f>
        <v>0</v>
      </c>
      <c r="AO53" s="153" t="str">
        <f>IF(AND(L46="",N(AY51)&lt;10^29),AY51,"")</f>
        <v/>
      </c>
      <c r="AP53" s="154" t="str">
        <f>IF(V50="","",IF(AND(N(V53)=0,N(AP51)=0),0,(AQ53-AP51*(AQ52^2+AQ53^2))/((AQ52*AP51)^2+(AP51*AQ53-1)^2)))</f>
        <v/>
      </c>
      <c r="AQ53" s="155">
        <f>IF(N(V53)=0,10^30,V53)</f>
        <v>1E+30</v>
      </c>
      <c r="AR53" s="153" t="str">
        <f>IF(AB50="","",IF(AB50="600V IV",VLOOKUP(AB52,ＩＶ,3,FALSE),IF(AB50="600V CV-T",VLOOKUP(AB52,ＣＶＴ,3,FALSE),IF(OR(AB50="600V CV-1C",AB50="600V CV-2C",AB50="600V CV-3C",AB50="600V CV-4C"),VLOOKUP(AB52,ＣＶ２３Ｃ,3,FALSE),VLOOKUP(AB52,ＣＵＳＥＲ,3,FALSE)))))</f>
        <v/>
      </c>
      <c r="AS53" s="155" t="str">
        <f>IF(OR(AND(AS54="",AS55=""),AND(D50="",D54&lt;&gt;"")),AS51,(AS51*(AT54^2+AT55^2)+AT55*(AS50^2+AS51^2))/((AS50+AT54)^2+(AS51+AT55)^2))</f>
        <v/>
      </c>
      <c r="AT53" s="156" t="str">
        <f>IF(Z53="",AS53,N(AS53)+(Z53/1000))</f>
        <v/>
      </c>
      <c r="AU53" s="156" t="str">
        <f>IF(AU51="","",(AT53*(AU50^2+AU51^2)+AU51*(AT52^2+AT53^2))/((AT52+AU50)^2+(AT53+AU51)^2))</f>
        <v/>
      </c>
      <c r="AV53" s="156">
        <f>AV49+AV52</f>
        <v>6</v>
      </c>
      <c r="AW53" s="155" t="str">
        <f>IF(AO53="","",AW51+AO53)</f>
        <v/>
      </c>
      <c r="AX53" s="157"/>
      <c r="AY53" s="140">
        <f>IF(L52="",10^30,SQRT(BA50)*(BA52^2)*(N(AN51)+N(AN53)+N(AO51)+N(AV51))/(100000*L52*M50))</f>
        <v>1E+30</v>
      </c>
      <c r="AZ53" s="141"/>
      <c r="BA53" s="114">
        <f>IF(AND(F52="",SUM(S50:S53)&lt;&gt;0),BA49,F52)</f>
        <v>0</v>
      </c>
      <c r="BB53" s="115">
        <f>IF(AND(BA50=3,S53&lt;&gt;""),1,0)</f>
        <v>0</v>
      </c>
      <c r="BC53" s="52"/>
      <c r="BD53" s="52"/>
      <c r="BH53" s="162"/>
      <c r="BI53" s="162"/>
      <c r="BJ53" s="4"/>
      <c r="BK53" s="4"/>
    </row>
    <row r="54" spans="1:63" ht="15" customHeight="1" x14ac:dyDescent="0.15">
      <c r="A54" s="159"/>
      <c r="B54" s="159"/>
      <c r="C54" s="245" t="str">
        <f>IF(BH54=1,"●","・")</f>
        <v>・</v>
      </c>
      <c r="D54" s="425"/>
      <c r="E54" s="447"/>
      <c r="F54" s="427"/>
      <c r="G54" s="240" t="str">
        <f>IF(F54="","","φ")</f>
        <v/>
      </c>
      <c r="H54" s="428"/>
      <c r="I54" s="240" t="str">
        <f>IF(H54="","","W")</f>
        <v/>
      </c>
      <c r="J54" s="428"/>
      <c r="K54" s="246" t="str">
        <f>IF(J54="","","V")</f>
        <v/>
      </c>
      <c r="L54" s="429"/>
      <c r="M54" s="430"/>
      <c r="N54" s="431"/>
      <c r="O54" s="164"/>
      <c r="P54" s="194"/>
      <c r="Q54" s="165"/>
      <c r="R54" s="166"/>
      <c r="S54" s="167" t="str">
        <f>IF(R54="","",IF(Q54="",P54/R54,P54/(Q54*R54)))</f>
        <v/>
      </c>
      <c r="T54" s="168"/>
      <c r="U54" s="169" t="str">
        <f>IF(OR(BA56="",S54=""),"",S54*1000*T54/(SQRT(BA54)*BA56))</f>
        <v/>
      </c>
      <c r="V54" s="236" t="str">
        <f>IF(AND(N(U54)=0,N(U55)=0,N(U56)=0,N(U57)=0),"",BA56/(SUM(U54:U57)))</f>
        <v/>
      </c>
      <c r="W54" s="220"/>
      <c r="X54" s="222"/>
      <c r="Y54" s="223"/>
      <c r="Z54" s="224"/>
      <c r="AA54" s="228"/>
      <c r="AB54" s="230"/>
      <c r="AC54" s="223"/>
      <c r="AD54" s="224"/>
      <c r="AE54" s="232"/>
      <c r="AF54" s="104" t="str">
        <f>IF(OR(AND(AF50="",N(BA52)=0,BA56&lt;&gt;0),D54&lt;&gt;""),AX56/AQ55,"")</f>
        <v/>
      </c>
      <c r="AG54" s="234" t="str">
        <f>IF(BA56=0,"",IF(AD56="",AX54,IF(AND(D54&lt;&gt;"",AU54=""),AX56*SQRT(AP56^2+AP57^2)/SQRT(AS54^2+AS55^2)/AQ55,AX54*SQRT(AP56^2+AP57^2)/SQRT(AS54^2+AS55^2))))</f>
        <v/>
      </c>
      <c r="AH54" s="235"/>
      <c r="AI54" s="105" t="str">
        <f>IF(AG54="","",IF(N(U54)&lt;0,-AX54*AQ55/SQRT(AS54^2+AS55^2),AX54*AQ55/SQRT(AS54^2+AS55^2)))</f>
        <v/>
      </c>
      <c r="AJ54" s="201"/>
      <c r="AK54" s="202"/>
      <c r="AL54" s="106"/>
      <c r="AM54" s="59"/>
      <c r="AN54" s="107" t="b">
        <f>IF(BA54="","",IF(AND(BA54=1,F56=50,L54="油入自冷"),VLOOKUP(L56,変１,2,FALSE),IF(AND(BA54=1,F56=50,L54="モ－ルド絶縁"),VLOOKUP(L56,変１,7,FALSE),IF(AND(BA54=1,F56=60,L54="油入自冷"),VLOOKUP(L56,変１,12,FALSE),IF(AND(BA54=1,F56=60,L54="モ－ルド絶縁"),VLOOKUP(L56,変１,17,FALSE),FALSE)))))</f>
        <v>0</v>
      </c>
      <c r="AO54" s="107">
        <f>IF(ISNA(VLOOKUP(L56,変ＵＳＥＲ,2,FALSE)),0,VLOOKUP(L56,変ＵＳＥＲ,2,FALSE))</f>
        <v>0</v>
      </c>
      <c r="AP54" s="108">
        <f>IF(N54="",0,N54*1000/BA56^2/SQRT(BA54))</f>
        <v>0</v>
      </c>
      <c r="AQ54" s="107" t="b">
        <f>IF(BA54=1,2,IF(BA54=3,SQRT(3),FALSE))</f>
        <v>0</v>
      </c>
      <c r="AR54" s="109" t="str">
        <f>IF(X54="","",IF(X54="600V IV",VLOOKUP(X56,ＩＶ,2,FALSE),IF(X54="600V CV-T",VLOOKUP(X56,ＣＶＴ,2,FALSE),IF(OR(X54="600V CV-1C",X54="600V CV-2C",X54="600V CV-3C",X54="600V CV-4C"),VLOOKUP(X56,ＣＶ２３Ｃ,2,FALSE),VLOOKUP(X56,ＣＵＳＥＲ,2,FALSE)))))</f>
        <v/>
      </c>
      <c r="AS54" s="107" t="str">
        <f>IF(AB57="",AP56,AP56+(AB57/1000))</f>
        <v/>
      </c>
      <c r="AT54" s="110" t="str">
        <f>IF(AU56="",AT56,AU56)</f>
        <v/>
      </c>
      <c r="AU54" s="110" t="str">
        <f>IF(D54="","",IF(AND(D178="",D182&lt;&gt;"",AV57=AV185),AT182,IF(AND(D178="",D182="",D186&lt;&gt;"",AV181=AV189),AT186,IF(AND(D178="",D182="",D186="",#REF!&lt;&gt;"",AV185=#REF!),#REF!,IF(AND(D178="",D182="",D186="",#REF!="",D190&lt;&gt;"",AV189=AV193),AT190,IF(AND(D178="",D182="",D186="",#REF!="",D190="",D194&lt;&gt;"",#REF!=AV197),AT194,IF(AND(D178="",D182="",D186="",#REF!="",D190="",D194="",D198&lt;&gt;"",AV193=AV201),AT198,"")))))))</f>
        <v/>
      </c>
      <c r="AV54" s="110" t="str">
        <f>IF(L54="発電機",IF(ISNA(VLOOKUP(L56,ＡＣＧ,2,FALSE)),0,VLOOKUP(L56,ＡＣＧ,2,FALSE)),"")</f>
        <v/>
      </c>
      <c r="AW54" s="111" t="str">
        <f>IF(AT54="","",AT54/((AT54*AP54)^2+(AT55*AP54-1)^2))</f>
        <v/>
      </c>
      <c r="AX54" s="112" t="str">
        <f>IF(BA56=0,"",IF(OR(AX50="",AF54&lt;&gt;""),AF54*SQRT(AS56^2+AS57^2)/SQRT(AT56^2+AT57^2),AX50*SQRT(AS56^2+AS57^2)/SQRT(AT56^2+AT57^2)))</f>
        <v/>
      </c>
      <c r="AY54" s="113">
        <f>IF(N(AY56)=10^30,10^30,IF(N(AY180)=10^30,(N(AY56)*(N(AY180)^2+N(AY181)^2)+N(AY180)*(N(AY56)^2+N(AY57)^2))/((N(AY56)+N(AY180))^2+(N(AY57)+N(AY181))^2),(N(AY56)*(N(AY178)^2+N(AY179)^2)+N(AY178)*(N(AY56)^2+N(AY57)^2))/((N(AY56)+N(AY178))^2+(N(AY57)+N(AY179))^2)))</f>
        <v>1E+30</v>
      </c>
      <c r="AZ54" s="52"/>
      <c r="BA54" s="114">
        <f>IF(AND(F54="",SUM(S54:S57)&lt;&gt;0),BA50,F54)</f>
        <v>0</v>
      </c>
      <c r="BB54" s="115">
        <f>IF(AND(BA54=3,S54&lt;&gt;""),1,0)</f>
        <v>0</v>
      </c>
      <c r="BC54" s="52"/>
      <c r="BD54" s="52"/>
      <c r="BH54" s="162">
        <f>IF(OR(E54="",F57="",AND(OR(P54="",Q54="",R54="",T54=""),OR(P55="",Q55="",R55="",T55=""),OR(P56="",Q56="",R56="",T56=""),OR(P57="",Q57="",R57="",T57="")),AND(OR(X54="",X56="",Y56="",Z56=""),OR(AB54="",AB56="",AC56="",AD56=""))),0,1)</f>
        <v>0</v>
      </c>
      <c r="BI54" s="162">
        <f>BH54+BI50</f>
        <v>4</v>
      </c>
      <c r="BJ54" s="4"/>
      <c r="BK54" s="4"/>
    </row>
    <row r="55" spans="1:63" ht="15" customHeight="1" x14ac:dyDescent="0.15">
      <c r="A55" s="159"/>
      <c r="B55" s="159"/>
      <c r="C55" s="245"/>
      <c r="D55" s="432"/>
      <c r="E55" s="448"/>
      <c r="F55" s="434"/>
      <c r="G55" s="241"/>
      <c r="H55" s="435"/>
      <c r="I55" s="241"/>
      <c r="J55" s="435"/>
      <c r="K55" s="247"/>
      <c r="L55" s="436"/>
      <c r="M55" s="170" t="str">
        <f>IF(L54="発電機",SQRT(AV54^2+AV55^2),IF(L56="","",IF(OR(L54="油入自冷",L54="モ－ルド絶縁"),IF(BA54=1,SQRT(AN54^2+AN55^2),IF(BA54=3,SQRT(AN56^2+AN57^2))),SQRT(AO54^2+AO55^2))))</f>
        <v/>
      </c>
      <c r="N55" s="437"/>
      <c r="O55" s="171"/>
      <c r="P55" s="195"/>
      <c r="Q55" s="172"/>
      <c r="R55" s="173"/>
      <c r="S55" s="174" t="str">
        <f t="shared" si="1"/>
        <v/>
      </c>
      <c r="T55" s="175"/>
      <c r="U55" s="176" t="str">
        <f>IF(OR(BA56="",S55=""),"",S55*1000*T55/(SQRT(BA54)*BA56))</f>
        <v/>
      </c>
      <c r="V55" s="237"/>
      <c r="W55" s="221"/>
      <c r="X55" s="225"/>
      <c r="Y55" s="226"/>
      <c r="Z55" s="227"/>
      <c r="AA55" s="229"/>
      <c r="AB55" s="231"/>
      <c r="AC55" s="226"/>
      <c r="AD55" s="227"/>
      <c r="AE55" s="233"/>
      <c r="AF55" s="124" t="str">
        <f>IF(OR(AF54="",AG50&lt;&gt;""),"",AF54*AQ55/SQRT(AT54^2+AT55^2))</f>
        <v/>
      </c>
      <c r="AG55" s="205" t="str">
        <f>IF(AG54="","",100*AG54*AQ55/BA56)</f>
        <v/>
      </c>
      <c r="AH55" s="206"/>
      <c r="AI55" s="207" t="str">
        <f>IF(BA56=0,"",IF(AI50="",AX56/SQRT(AT54^2+AT55^2),IF(AI58="","",IF(AT54&lt;0,-AX54*AQ51/SQRT(AT54^2+AT55^2),AX54*AQ51/SQRT(AT54^2+AT55^2)))))</f>
        <v/>
      </c>
      <c r="AJ55" s="203"/>
      <c r="AK55" s="204"/>
      <c r="AL55" s="125"/>
      <c r="AM55" s="59"/>
      <c r="AN55" s="107" t="b">
        <f>IF(BA54="","",IF(AND(BA54=1,F56=50,L54="油入自冷"),VLOOKUP(L56,変１,3,FALSE),IF(AND(BA54=1,F56=50,L54="モ－ルド絶縁"),VLOOKUP(L56,変１,8,FALSE),IF(AND(BA54=1,F56=60,L54="油入自冷"),VLOOKUP(L56,変１,13,FALSE),IF(AND(BA54=1,F56=60,L54="モ－ルド絶縁"),VLOOKUP(L56,変１,18,FALSE),FALSE)))))</f>
        <v>0</v>
      </c>
      <c r="AO55" s="107">
        <f>IF(ISNA(VLOOKUP(L56,変ＵＳＥＲ,3,FALSE)),0,VLOOKUP(L56,変ＵＳＥＲ,3,FALSE)*BA57/50)</f>
        <v>0</v>
      </c>
      <c r="AP55" s="108">
        <f>IF(W54="",0,W54*1000/BA56^2/SQRT(BA54))</f>
        <v>0</v>
      </c>
      <c r="AQ55" s="107">
        <f>IF(AND(BA54=1,BA55=2),1,IF(AND(BA54=3,BA55=3),1,IF(AND(BA54=1,BA55=3),2,IF(AND(BA54=3,BA55=4)*OR(BB54=1,BB55=1,BB56=1,BB57=1),1,SQRT(3)))))</f>
        <v>1.7320508075688772</v>
      </c>
      <c r="AR55" s="109" t="str">
        <f>IF(X54="","",IF(X54="600V IV",VLOOKUP(X56,ＩＶ,3,FALSE),IF(X54="600V CV-T",VLOOKUP(X56,ＣＶＴ,3,FALSE),IF(OR(X54="600V CV-1C",X54="600V CV-2C",X54="600V CV-3C",X54="600V CV-4C"),VLOOKUP(X56,ＣＶ２３Ｃ,3,FALSE),VLOOKUP(X56,ＣＵＳＥＲ,3,FALSE)))))</f>
        <v/>
      </c>
      <c r="AS55" s="107" t="str">
        <f>IF(AD57="",AP57,AP57+(AD57/1000))</f>
        <v/>
      </c>
      <c r="AT55" s="110" t="str">
        <f>IF(AU57="",AT57,AU57)</f>
        <v/>
      </c>
      <c r="AU55" s="110" t="str">
        <f>IF(D54="","",IF(AND(D178="",D182&lt;&gt;"",AV57=AV185),AT183,IF(AND(D178="",D182="",D186&lt;&gt;"",AV181=AV189),AT187,IF(AND(D178="",D182="",D186="",#REF!&lt;&gt;"",AV185=#REF!),#REF!,IF(AND(D178="",D182="",D186="",#REF!="",D190&lt;&gt;"",AV189=AV193),AT191,IF(AND(D178="",D182="",D186="",#REF!="",D190="",D194&lt;&gt;"",#REF!=AV197),AT195,IF(AND(D178="",D182="",D186="",#REF!="",D190="",D194="",D198&lt;&gt;"",AV193=AV201),AT199,"")))))))</f>
        <v/>
      </c>
      <c r="AV55" s="109" t="str">
        <f>IF(L54="発電機",IF(ISNA(VLOOKUP(L56,ＡＣＧ,3,FALSE)),0,VLOOKUP(L56,ＡＣＧ,3,FALSE)*BA57/50),"")</f>
        <v/>
      </c>
      <c r="AW55" s="111" t="str">
        <f>IF(AT55="","",(AT55-AP54*(AT54^2+AT55^2))/((AT54*AP54)^2+(AP54*AT55-1)^2))</f>
        <v/>
      </c>
      <c r="AX55" s="112"/>
      <c r="AY55" s="113">
        <f>IF(N(AY57)=10^30,10^30,IF(N(AY181)=10^30,(N(AY57)*(N(AY180)^2+N(AY181)^2)+N(AY181)*(N(AY56)^2+N(AY57)^2))/((N(AY56)+N(AY180))^2+(N(AY57)+N(AY181))^2),(N(AY57)*(N(AY178)^2+N(AY179)^2)+N(AY179)*(N(AY56)^2+N(AY57)^2))/((N(AY56)+N(AY178))^2+(N(AY57)+N(AY179))^2)))</f>
        <v>1E+30</v>
      </c>
      <c r="AZ55" s="52"/>
      <c r="BA55" s="114">
        <f>IF(AND(H54="",SUM(S54:S57)&lt;&gt;0),BA51,H54)</f>
        <v>0</v>
      </c>
      <c r="BB55" s="115">
        <f>IF(AND(BA54=3,S55&lt;&gt;""),1,0)</f>
        <v>0</v>
      </c>
      <c r="BC55" s="52"/>
      <c r="BD55" s="52"/>
      <c r="BH55" s="162"/>
      <c r="BI55" s="162"/>
      <c r="BJ55" s="4"/>
      <c r="BK55" s="4"/>
    </row>
    <row r="56" spans="1:63" ht="15" customHeight="1" x14ac:dyDescent="0.15">
      <c r="A56" s="159"/>
      <c r="B56" s="159"/>
      <c r="C56" s="245"/>
      <c r="D56" s="432"/>
      <c r="E56" s="448"/>
      <c r="F56" s="438"/>
      <c r="G56" s="438"/>
      <c r="H56" s="438"/>
      <c r="I56" s="438"/>
      <c r="J56" s="438"/>
      <c r="K56" s="439"/>
      <c r="L56" s="440"/>
      <c r="M56" s="441"/>
      <c r="N56" s="437"/>
      <c r="O56" s="171"/>
      <c r="P56" s="196"/>
      <c r="Q56" s="177"/>
      <c r="R56" s="173"/>
      <c r="S56" s="174" t="str">
        <f t="shared" si="1"/>
        <v/>
      </c>
      <c r="T56" s="175"/>
      <c r="U56" s="178" t="str">
        <f>IF(OR(BA56="",S56=""),"",S56*1000*T56/(SQRT(BA54)*BA56))</f>
        <v/>
      </c>
      <c r="V56" s="179" t="str">
        <f>IF(AND(N(U54)=0,N(U55)=0,N(U56)=0,N(U57)=0),"",V54*(P54*R54*T54+P55*R55*T55+P56*R56*T56+P57*R57*T57)/(P54*T54+P55*T55+P56*T56+P57*T57))</f>
        <v/>
      </c>
      <c r="W56" s="209" t="str">
        <f>IF(AND(N(AP56)=0,N(AP57)=0,N(AP55)=0),"",IF(AP57&gt;=0,COS(ATAN(AP57/AP56)),-COS(ATAN(AP57/AP56))))</f>
        <v/>
      </c>
      <c r="X56" s="180"/>
      <c r="Y56" s="181"/>
      <c r="Z56" s="182"/>
      <c r="AA56" s="183"/>
      <c r="AB56" s="184"/>
      <c r="AC56" s="181"/>
      <c r="AD56" s="182"/>
      <c r="AE56" s="185"/>
      <c r="AF56" s="136" t="str">
        <f>IF(OR(AF54="",AG50&lt;&gt;""),"",BA56/SQRT(AW56^2+AW57^2))</f>
        <v/>
      </c>
      <c r="AG56" s="205" t="str">
        <f>IF(AG54="","",100*((BA56/AQ55)-AG54)/(BA56/AQ55))</f>
        <v/>
      </c>
      <c r="AH56" s="206"/>
      <c r="AI56" s="208"/>
      <c r="AJ56" s="211"/>
      <c r="AK56" s="213"/>
      <c r="AL56" s="137"/>
      <c r="AM56" s="59"/>
      <c r="AN56" s="138" t="b">
        <f>IF(BA54="","",IF(AND(BA54=3,F56=50,L54="油入自冷"),VLOOKUP(L56,変３,2,FALSE),IF(AND(BA54=3,F56=50,L54="モ－ルド絶縁"),VLOOKUP(L56,変３,7,FALSE),IF(AND(BA54=3,F56=60,L54="油入自冷"),VLOOKUP(L56,変３,12,FALSE),IF(AND(BA54=3,F56=60,L54="モ－ルド絶縁"),VLOOKUP(L56,変３,17,FALSE),FALSE)))))</f>
        <v>0</v>
      </c>
      <c r="AO56" s="109" t="str">
        <f>IF(AND(L50="",N(AY54)&lt;10^29),AY54,"")</f>
        <v/>
      </c>
      <c r="AP56" s="139" t="str">
        <f>IF(V54="","",IF(AND(N(V56)=0,N(AP55)=0),"",AQ56/((AQ56*AP55)^2+(AP55*AQ57-1)^2)))</f>
        <v/>
      </c>
      <c r="AQ56" s="107">
        <f>IF(N(V56)=0,10^30,V56)</f>
        <v>1E+30</v>
      </c>
      <c r="AR56" s="109" t="str">
        <f>IF(AB54="","",IF(AB54="600V IV",VLOOKUP(AB56,ＩＶ,2,FALSE),IF(AB54="600V CV-T",VLOOKUP(AB56,ＣＶＴ,2,FALSE),IF(OR(AB54="600V CV-1C",AB54="600V CV-2C",AB54="600V CV-3C",AB54="600V CV-4C"),VLOOKUP(AB56,ＣＶ２３Ｃ,2,FALSE),VLOOKUP(AB56,ＣＵＳＥＲ,2,FALSE)))))</f>
        <v/>
      </c>
      <c r="AS56" s="107" t="str">
        <f>IF(OR(AND(AS178="",AS179=""),AND(D54="",D178&lt;&gt;"")),AS54,(AS54*(AT178^2+AT179^2)+AT178*(AS54^2+AS55^2))/((AS54+AT178)^2+(AS55+AT179)^2))</f>
        <v/>
      </c>
      <c r="AT56" s="110" t="str">
        <f>IF(X57="",AS56,N(AS56)+(X57/1000))</f>
        <v/>
      </c>
      <c r="AU56" s="110" t="str">
        <f>IF(AU54="","",(AT56*(AU54^2+AU55^2)+AU54*(AT56^2+AT57^2))/((AT56+AU54)^2+(AT57+AU55)^2))</f>
        <v/>
      </c>
      <c r="AV56" s="110">
        <f>IF(BA56=0,1,0)</f>
        <v>1</v>
      </c>
      <c r="AW56" s="111" t="str">
        <f>IF(AO56="","",AW54+AO56)</f>
        <v/>
      </c>
      <c r="AX56" s="112" t="str">
        <f>IF(AND(AX52="",AW56&lt;&gt;""),BA56*SQRT(AW54^2+AW55^2)/SQRT(AW56^2+AW57^2),IF(BA56&lt;&gt;0,AX52,""))</f>
        <v/>
      </c>
      <c r="AY56" s="140">
        <f>IF(L56="",10^30,SQRT(BA54)*(BA56^2)*(N(AN54)+N(AN56)+N(AO54)+N(AV54))/(100000*L56*M54))</f>
        <v>1E+30</v>
      </c>
      <c r="AZ56" s="141"/>
      <c r="BA56" s="114">
        <f>IF(AND(J54="",SUM(S54:S57)&lt;&gt;0),BA52,J54)</f>
        <v>0</v>
      </c>
      <c r="BB56" s="115">
        <f>IF(AND(BA54=3,S56&lt;&gt;""),1,0)</f>
        <v>0</v>
      </c>
      <c r="BC56" s="52"/>
      <c r="BD56" s="52"/>
      <c r="BH56" s="162"/>
      <c r="BI56" s="162"/>
      <c r="BJ56" s="4"/>
      <c r="BK56" s="4"/>
    </row>
    <row r="57" spans="1:63" ht="15" customHeight="1" x14ac:dyDescent="0.15">
      <c r="A57" s="159"/>
      <c r="B57" s="159"/>
      <c r="C57" s="245"/>
      <c r="D57" s="442"/>
      <c r="E57" s="449"/>
      <c r="F57" s="444"/>
      <c r="G57" s="444"/>
      <c r="H57" s="444"/>
      <c r="I57" s="444"/>
      <c r="J57" s="444"/>
      <c r="K57" s="445"/>
      <c r="L57" s="238" t="str">
        <f>IF(M54="","",L56*1000*M54/(SQRT(BA54)*BA56))</f>
        <v/>
      </c>
      <c r="M57" s="239"/>
      <c r="N57" s="446"/>
      <c r="O57" s="186"/>
      <c r="P57" s="197"/>
      <c r="Q57" s="187"/>
      <c r="R57" s="188"/>
      <c r="S57" s="189" t="str">
        <f t="shared" si="1"/>
        <v/>
      </c>
      <c r="T57" s="190"/>
      <c r="U57" s="191" t="str">
        <f>IF(OR(BA56="",S57=""),"",S57*1000*T57/(SQRT(BA54)*BA56))</f>
        <v/>
      </c>
      <c r="V57" s="192" t="str">
        <f>IF(AND(N(U54)=0,N(U55)=0,N(U56)=0,N(U57)=0),"",IF(V54&gt;=0,SQRT(ABS(V54^2-V56^2)),-SQRT(V54^2-V56^2)))</f>
        <v/>
      </c>
      <c r="W57" s="210"/>
      <c r="X57" s="215" t="str">
        <f>IF(Y56="","",AQ54*Z56*AR54*((1+0.00393*(F57-20))/1.2751)/Y56)</f>
        <v/>
      </c>
      <c r="Y57" s="216"/>
      <c r="Z57" s="217" t="str">
        <f>IF(Y56="","",(BA57/50)*AQ54*Z56*AR55/Y56)</f>
        <v/>
      </c>
      <c r="AA57" s="218"/>
      <c r="AB57" s="219" t="str">
        <f>IF(AC56="","",AQ54*AD56*AR56*((1+0.00393*(F57-20))/1.2751)/AC56)</f>
        <v/>
      </c>
      <c r="AC57" s="216"/>
      <c r="AD57" s="217" t="str">
        <f>IF(AC56="","",(BA57/50)*AQ54*AD56*AR57/AC56)</f>
        <v/>
      </c>
      <c r="AE57" s="242"/>
      <c r="AF57" s="150" t="str">
        <f>IF(AND(AX54&lt;&gt;"",D54=""),AX54,"")</f>
        <v/>
      </c>
      <c r="AG57" s="243" t="str">
        <f>IF(AP56="","",AP56)</f>
        <v/>
      </c>
      <c r="AH57" s="244"/>
      <c r="AI57" s="151" t="str">
        <f>IF(AP57="","",AP57)</f>
        <v/>
      </c>
      <c r="AJ57" s="212"/>
      <c r="AK57" s="214"/>
      <c r="AL57" s="152"/>
      <c r="AM57" s="59"/>
      <c r="AN57" s="153" t="b">
        <f>IF(BA54="","",IF(AND(BA54=3,F56=50,L54="油入自冷"),VLOOKUP(L56,変３,3,FALSE),IF(AND(BA54=3,F56=50,L54="モ－ルド絶縁"),VLOOKUP(L56,変３,8,FALSE),IF(AND(BA54=3,F56=60,L54="油入自冷"),VLOOKUP(L56,変３,13,FALSE),IF(AND(BA54=3,F56=60,L54="モ－ルド絶縁"),VLOOKUP(L56,変３,18,FALSE),FALSE)))))</f>
        <v>0</v>
      </c>
      <c r="AO57" s="153" t="str">
        <f>IF(AND(L50="",N(AY55)&lt;10^29),AY55,"")</f>
        <v/>
      </c>
      <c r="AP57" s="154" t="str">
        <f>IF(V54="","",IF(AND(N(V57)=0,N(AP55)=0),0,(AQ57-AP55*(AQ56^2+AQ57^2))/((AQ56*AP55)^2+(AP55*AQ57-1)^2)))</f>
        <v/>
      </c>
      <c r="AQ57" s="155">
        <f>IF(N(V57)=0,10^30,V57)</f>
        <v>1E+30</v>
      </c>
      <c r="AR57" s="153" t="str">
        <f>IF(AB54="","",IF(AB54="600V IV",VLOOKUP(AB56,ＩＶ,3,FALSE),IF(AB54="600V CV-T",VLOOKUP(AB56,ＣＶＴ,3,FALSE),IF(OR(AB54="600V CV-1C",AB54="600V CV-2C",AB54="600V CV-3C",AB54="600V CV-4C"),VLOOKUP(AB56,ＣＶ２３Ｃ,3,FALSE),VLOOKUP(AB56,ＣＵＳＥＲ,3,FALSE)))))</f>
        <v/>
      </c>
      <c r="AS57" s="155" t="str">
        <f>IF(OR(AND(AS178="",AS179=""),AND(D54="",D178&lt;&gt;"")),AS55,(AS55*(AT178^2+AT179^2)+AT179*(AS54^2+AS55^2))/((AS54+AT178)^2+(AS55+AT179)^2))</f>
        <v/>
      </c>
      <c r="AT57" s="156" t="str">
        <f>IF(Z57="",AS57,N(AS57)+(Z57/1000))</f>
        <v/>
      </c>
      <c r="AU57" s="156" t="str">
        <f>IF(AU55="","",(AT57*(AU54^2+AU55^2)+AU55*(AT56^2+AT57^2))/((AT56+AU54)^2+(AT57+AU55)^2))</f>
        <v/>
      </c>
      <c r="AV57" s="156">
        <f>AV53+AV56</f>
        <v>7</v>
      </c>
      <c r="AW57" s="155" t="str">
        <f>IF(AO57="","",AW55+AO57)</f>
        <v/>
      </c>
      <c r="AX57" s="157"/>
      <c r="AY57" s="140">
        <f>IF(L56="",10^30,SQRT(BA54)*(BA56^2)*(N(AN55)+N(AN57)+N(AO55)+N(AV55))/(100000*L56*M54))</f>
        <v>1E+30</v>
      </c>
      <c r="AZ57" s="141"/>
      <c r="BA57" s="114">
        <f>IF(AND(F56="",SUM(S54:S57)&lt;&gt;0),BA53,F56)</f>
        <v>0</v>
      </c>
      <c r="BB57" s="115">
        <f>IF(AND(BA54=3,S57&lt;&gt;""),1,0)</f>
        <v>0</v>
      </c>
      <c r="BC57" s="52"/>
      <c r="BD57" s="52"/>
      <c r="BH57" s="162"/>
      <c r="BI57" s="162"/>
      <c r="BJ57" s="4"/>
      <c r="BK57" s="4"/>
    </row>
    <row r="58" spans="1:63" ht="15" customHeight="1" x14ac:dyDescent="0.15">
      <c r="A58" s="159"/>
      <c r="B58" s="159"/>
      <c r="C58" s="245" t="str">
        <f>IF(BH58=1,"●","・")</f>
        <v>・</v>
      </c>
      <c r="D58" s="425"/>
      <c r="E58" s="447"/>
      <c r="F58" s="427"/>
      <c r="G58" s="240" t="str">
        <f>IF(F58="","","φ")</f>
        <v/>
      </c>
      <c r="H58" s="428"/>
      <c r="I58" s="240" t="str">
        <f>IF(H58="","","W")</f>
        <v/>
      </c>
      <c r="J58" s="428"/>
      <c r="K58" s="246" t="str">
        <f>IF(J58="","","V")</f>
        <v/>
      </c>
      <c r="L58" s="429"/>
      <c r="M58" s="430"/>
      <c r="N58" s="431"/>
      <c r="O58" s="164"/>
      <c r="P58" s="194"/>
      <c r="Q58" s="165"/>
      <c r="R58" s="166"/>
      <c r="S58" s="167" t="str">
        <f>IF(R58="","",IF(Q58="",P58/R58,P58/(Q58*R58)))</f>
        <v/>
      </c>
      <c r="T58" s="168"/>
      <c r="U58" s="169" t="str">
        <f>IF(OR(BA60="",S58=""),"",S58*1000*T58/(SQRT(BA58)*BA60))</f>
        <v/>
      </c>
      <c r="V58" s="236" t="str">
        <f>IF(AND(N(U58)=0,N(U59)=0,N(U60)=0,N(U61)=0),"",BA60/(SUM(U58:U61)))</f>
        <v/>
      </c>
      <c r="W58" s="220"/>
      <c r="X58" s="222"/>
      <c r="Y58" s="223"/>
      <c r="Z58" s="224"/>
      <c r="AA58" s="228"/>
      <c r="AB58" s="230"/>
      <c r="AC58" s="223"/>
      <c r="AD58" s="224"/>
      <c r="AE58" s="232"/>
      <c r="AF58" s="104" t="str">
        <f>IF(OR(AND(AF54="",N(BA56)=0,BA60&lt;&gt;0),D58&lt;&gt;""),AX60/AQ59,"")</f>
        <v/>
      </c>
      <c r="AG58" s="234" t="str">
        <f>IF(BA60=0,"",IF(AD60="",AX58,IF(AND(D58&lt;&gt;"",AU58=""),AX60*SQRT(AP60^2+AP61^2)/SQRT(AS58^2+AS59^2)/AQ59,AX58*SQRT(AP60^2+AP61^2)/SQRT(AS58^2+AS59^2))))</f>
        <v/>
      </c>
      <c r="AH58" s="235"/>
      <c r="AI58" s="105" t="str">
        <f>IF(AG58="","",IF(N(U58)&lt;0,-AX58*AQ59/SQRT(AS58^2+AS59^2),AX58*AQ59/SQRT(AS58^2+AS59^2)))</f>
        <v/>
      </c>
      <c r="AJ58" s="201"/>
      <c r="AK58" s="202"/>
      <c r="AL58" s="106"/>
      <c r="AM58" s="59"/>
      <c r="AN58" s="107" t="b">
        <f>IF(BA58="","",IF(AND(BA58=1,F60=50,L58="油入自冷"),VLOOKUP(L60,変１,2,FALSE),IF(AND(BA58=1,F60=50,L58="モ－ルド絶縁"),VLOOKUP(L60,変１,7,FALSE),IF(AND(BA58=1,F60=60,L58="油入自冷"),VLOOKUP(L60,変１,12,FALSE),IF(AND(BA58=1,F60=60,L58="モ－ルド絶縁"),VLOOKUP(L60,変１,17,FALSE),FALSE)))))</f>
        <v>0</v>
      </c>
      <c r="AO58" s="107">
        <f>IF(ISNA(VLOOKUP(L60,変ＵＳＥＲ,2,FALSE)),0,VLOOKUP(L60,変ＵＳＥＲ,2,FALSE))</f>
        <v>0</v>
      </c>
      <c r="AP58" s="108">
        <f>IF(N58="",0,N58*1000/BA60^2/SQRT(BA58))</f>
        <v>0</v>
      </c>
      <c r="AQ58" s="107" t="b">
        <f>IF(BA58=1,2,IF(BA58=3,SQRT(3),FALSE))</f>
        <v>0</v>
      </c>
      <c r="AR58" s="109" t="str">
        <f>IF(X58="","",IF(X58="600V IV",VLOOKUP(X60,ＩＶ,2,FALSE),IF(X58="600V CV-T",VLOOKUP(X60,ＣＶＴ,2,FALSE),IF(OR(X58="600V CV-1C",X58="600V CV-2C",X58="600V CV-3C",X58="600V CV-4C"),VLOOKUP(X60,ＣＶ２３Ｃ,2,FALSE),VLOOKUP(X60,ＣＵＳＥＲ,2,FALSE)))))</f>
        <v/>
      </c>
      <c r="AS58" s="107" t="str">
        <f>IF(AB61="",AP60,AP60+(AB61/1000))</f>
        <v/>
      </c>
      <c r="AT58" s="110" t="str">
        <f>IF(AU60="",AT60,AU60)</f>
        <v/>
      </c>
      <c r="AU58" s="110" t="str">
        <f>IF(D58="","",IF(AND(D122="",D126&lt;&gt;"",AV61=AV129),AT126,IF(AND(D122="",D126="",D130&lt;&gt;"",AV125=AV133),AT130,IF(AND(D122="",D126="",D130="",D134&lt;&gt;"",AV129=AV137),AT134,IF(AND(D122="",D126="",D130="",D134="",D138&lt;&gt;"",AV133=AV141),AT138,IF(AND(D122="",D126="",D130="",D134="",D138="",D142&lt;&gt;"",AV137=AV145),AT142,IF(AND(D122="",D126="",D130="",D134="",D138="",D142="",D146&lt;&gt;"",AV141=AV149),AT146,"")))))))</f>
        <v/>
      </c>
      <c r="AV58" s="110" t="str">
        <f>IF(L58="発電機",IF(ISNA(VLOOKUP(L60,ＡＣＧ,2,FALSE)),0,VLOOKUP(L60,ＡＣＧ,2,FALSE)),"")</f>
        <v/>
      </c>
      <c r="AW58" s="111" t="str">
        <f>IF(AT58="","",AT58/((AT58*AP58)^2+(AT59*AP58-1)^2))</f>
        <v/>
      </c>
      <c r="AX58" s="112" t="str">
        <f>IF(BA60=0,"",IF(OR(#REF!="",AF58&lt;&gt;""),AF58*SQRT(AS60^2+AS61^2)/SQRT(AT60^2+AT61^2),#REF!*SQRT(AS60^2+AS61^2)/SQRT(AT60^2+AT61^2)))</f>
        <v/>
      </c>
      <c r="AY58" s="113">
        <f>IF(N(AY60)=10^30,10^30,IF(N(AY124)=10^30,(N(AY60)*(N(AY124)^2+N(AY125)^2)+N(AY124)*(N(AY60)^2+N(AY61)^2))/((N(AY60)+N(AY124))^2+(N(AY61)+N(AY125))^2),(N(AY60)*(N(AY122)^2+N(AY123)^2)+N(AY122)*(N(AY60)^2+N(AY61)^2))/((N(AY60)+N(AY122))^2+(N(AY61)+N(AY123))^2)))</f>
        <v>1E+30</v>
      </c>
      <c r="AZ58" s="52"/>
      <c r="BA58" s="114">
        <f>IF(AND(F58="",SUM(S58:S61)&lt;&gt;0),#REF!,F58)</f>
        <v>0</v>
      </c>
      <c r="BB58" s="115">
        <f>IF(AND(BA58=3,S58&lt;&gt;""),1,0)</f>
        <v>0</v>
      </c>
      <c r="BC58" s="52"/>
      <c r="BD58" s="52"/>
      <c r="BH58" s="162">
        <f>IF(OR(E58="",F61="",AND(OR(P58="",Q58="",R58="",T58=""),OR(P59="",Q59="",R59="",T59=""),OR(P60="",Q60="",R60="",T60=""),OR(P61="",Q61="",R61="",T61="")),AND(OR(X58="",X60="",Y60="",Z60=""),OR(AB58="",AB60="",AC60="",AD60=""))),0,1)</f>
        <v>0</v>
      </c>
      <c r="BI58" s="162">
        <f>BH58+BI54</f>
        <v>4</v>
      </c>
      <c r="BJ58" s="4"/>
      <c r="BK58" s="4"/>
    </row>
    <row r="59" spans="1:63" ht="15" customHeight="1" x14ac:dyDescent="0.15">
      <c r="A59" s="159"/>
      <c r="B59" s="159"/>
      <c r="C59" s="245"/>
      <c r="D59" s="432"/>
      <c r="E59" s="448"/>
      <c r="F59" s="434"/>
      <c r="G59" s="241"/>
      <c r="H59" s="435"/>
      <c r="I59" s="241"/>
      <c r="J59" s="435"/>
      <c r="K59" s="247"/>
      <c r="L59" s="436"/>
      <c r="M59" s="170" t="str">
        <f>IF(L58="発電機",SQRT(AV58^2+AV59^2),IF(L60="","",IF(OR(L58="油入自冷",L58="モ－ルド絶縁"),IF(BA58=1,SQRT(AN58^2+AN59^2),IF(BA58=3,SQRT(AN60^2+AN61^2))),SQRT(AO58^2+AO59^2))))</f>
        <v/>
      </c>
      <c r="N59" s="437"/>
      <c r="O59" s="171"/>
      <c r="P59" s="195"/>
      <c r="Q59" s="172"/>
      <c r="R59" s="173"/>
      <c r="S59" s="174" t="str">
        <f t="shared" ref="S59:S77" si="2">IF(R59="","",IF(Q59="",P59/R59,P59/(Q59*R59)))</f>
        <v/>
      </c>
      <c r="T59" s="175"/>
      <c r="U59" s="176" t="str">
        <f>IF(OR(BA60="",S59=""),"",S59*1000*T59/(SQRT(BA58)*BA60))</f>
        <v/>
      </c>
      <c r="V59" s="237"/>
      <c r="W59" s="221"/>
      <c r="X59" s="225"/>
      <c r="Y59" s="226"/>
      <c r="Z59" s="227"/>
      <c r="AA59" s="229"/>
      <c r="AB59" s="231"/>
      <c r="AC59" s="226"/>
      <c r="AD59" s="227"/>
      <c r="AE59" s="233"/>
      <c r="AF59" s="124" t="str">
        <f>IF(OR(AF58="",AG54&lt;&gt;""),"",AF58*AQ59/SQRT(AT58^2+AT59^2))</f>
        <v/>
      </c>
      <c r="AG59" s="205" t="str">
        <f>IF(AG58="","",100*AG58*AQ59/BA60)</f>
        <v/>
      </c>
      <c r="AH59" s="206"/>
      <c r="AI59" s="207" t="str">
        <f>IF(BA60=0,"",IF(AI54="",AX60/SQRT(AT58^2+AT59^2),IF(AI62="","",IF(AT58&lt;0,-AX58*AQ55/SQRT(AT58^2+AT59^2),AX58*AQ55/SQRT(AT58^2+AT59^2)))))</f>
        <v/>
      </c>
      <c r="AJ59" s="203"/>
      <c r="AK59" s="204"/>
      <c r="AL59" s="125"/>
      <c r="AM59" s="59"/>
      <c r="AN59" s="107" t="b">
        <f>IF(BA58="","",IF(AND(BA58=1,F60=50,L58="油入自冷"),VLOOKUP(L60,変１,3,FALSE),IF(AND(BA58=1,F60=50,L58="モ－ルド絶縁"),VLOOKUP(L60,変１,8,FALSE),IF(AND(BA58=1,F60=60,L58="油入自冷"),VLOOKUP(L60,変１,13,FALSE),IF(AND(BA58=1,F60=60,L58="モ－ルド絶縁"),VLOOKUP(L60,変１,18,FALSE),FALSE)))))</f>
        <v>0</v>
      </c>
      <c r="AO59" s="107">
        <f>IF(ISNA(VLOOKUP(L60,変ＵＳＥＲ,3,FALSE)),0,VLOOKUP(L60,変ＵＳＥＲ,3,FALSE)*BA61/50)</f>
        <v>0</v>
      </c>
      <c r="AP59" s="108">
        <f>IF(W58="",0,W58*1000/BA60^2/SQRT(BA58))</f>
        <v>0</v>
      </c>
      <c r="AQ59" s="107">
        <f>IF(AND(BA58=1,BA59=2),1,IF(AND(BA58=3,BA59=3),1,IF(AND(BA58=1,BA59=3),2,IF(AND(BA58=3,BA59=4)*OR(BB58=1,BB59=1,BB60=1,BB61=1),1,SQRT(3)))))</f>
        <v>1.7320508075688772</v>
      </c>
      <c r="AR59" s="109" t="str">
        <f>IF(X58="","",IF(X58="600V IV",VLOOKUP(X60,ＩＶ,3,FALSE),IF(X58="600V CV-T",VLOOKUP(X60,ＣＶＴ,3,FALSE),IF(OR(X58="600V CV-1C",X58="600V CV-2C",X58="600V CV-3C",X58="600V CV-4C"),VLOOKUP(X60,ＣＶ２３Ｃ,3,FALSE),VLOOKUP(X60,ＣＵＳＥＲ,3,FALSE)))))</f>
        <v/>
      </c>
      <c r="AS59" s="107" t="str">
        <f>IF(AD61="",AP61,AP61+(AD61/1000))</f>
        <v/>
      </c>
      <c r="AT59" s="110" t="str">
        <f>IF(AU61="",AT61,AU61)</f>
        <v/>
      </c>
      <c r="AU59" s="110" t="str">
        <f>IF(D58="","",IF(AND(D122="",D126&lt;&gt;"",AV61=AV129),AT127,IF(AND(D122="",D126="",D130&lt;&gt;"",AV125=AV133),AT131,IF(AND(D122="",D126="",D130="",D134&lt;&gt;"",AV129=AV137),AT135,IF(AND(D122="",D126="",D130="",D134="",D138&lt;&gt;"",AV133=AV141),AT139,IF(AND(D122="",D126="",D130="",D134="",D138="",D142&lt;&gt;"",AV137=AV145),AT143,IF(AND(D122="",D126="",D130="",D134="",D138="",D142="",D146&lt;&gt;"",AV141=AV149),AT147,"")))))))</f>
        <v/>
      </c>
      <c r="AV59" s="109" t="str">
        <f>IF(L58="発電機",IF(ISNA(VLOOKUP(L60,ＡＣＧ,3,FALSE)),0,VLOOKUP(L60,ＡＣＧ,3,FALSE)*BA61/50),"")</f>
        <v/>
      </c>
      <c r="AW59" s="111" t="str">
        <f>IF(AT59="","",(AT59-AP58*(AT58^2+AT59^2))/((AT58*AP58)^2+(AP58*AT59-1)^2))</f>
        <v/>
      </c>
      <c r="AX59" s="112"/>
      <c r="AY59" s="113">
        <f>IF(N(AY61)=10^30,10^30,IF(N(AY125)=10^30,(N(AY61)*(N(AY124)^2+N(AY125)^2)+N(AY125)*(N(AY60)^2+N(AY61)^2))/((N(AY60)+N(AY124))^2+(N(AY61)+N(AY125))^2),(N(AY61)*(N(AY122)^2+N(AY123)^2)+N(AY123)*(N(AY60)^2+N(AY61)^2))/((N(AY60)+N(AY122))^2+(N(AY61)+N(AY123))^2)))</f>
        <v>1E+30</v>
      </c>
      <c r="AZ59" s="52"/>
      <c r="BA59" s="114">
        <f>IF(AND(H58="",SUM(S58:S61)&lt;&gt;0),#REF!,H58)</f>
        <v>0</v>
      </c>
      <c r="BB59" s="115">
        <f>IF(AND(BA58=3,S59&lt;&gt;""),1,0)</f>
        <v>0</v>
      </c>
      <c r="BC59" s="52"/>
      <c r="BD59" s="52"/>
      <c r="BH59" s="162"/>
      <c r="BI59" s="162"/>
      <c r="BJ59" s="4"/>
      <c r="BK59" s="4"/>
    </row>
    <row r="60" spans="1:63" ht="15" customHeight="1" x14ac:dyDescent="0.15">
      <c r="A60" s="159"/>
      <c r="B60" s="159"/>
      <c r="C60" s="245"/>
      <c r="D60" s="432"/>
      <c r="E60" s="448"/>
      <c r="F60" s="438"/>
      <c r="G60" s="438"/>
      <c r="H60" s="438"/>
      <c r="I60" s="438"/>
      <c r="J60" s="438"/>
      <c r="K60" s="439"/>
      <c r="L60" s="440"/>
      <c r="M60" s="441"/>
      <c r="N60" s="437"/>
      <c r="O60" s="171"/>
      <c r="P60" s="196"/>
      <c r="Q60" s="177"/>
      <c r="R60" s="173"/>
      <c r="S60" s="174" t="str">
        <f t="shared" si="2"/>
        <v/>
      </c>
      <c r="T60" s="175"/>
      <c r="U60" s="178" t="str">
        <f>IF(OR(BA60="",S60=""),"",S60*1000*T60/(SQRT(BA58)*BA60))</f>
        <v/>
      </c>
      <c r="V60" s="179" t="str">
        <f>IF(AND(N(U58)=0,N(U59)=0,N(U60)=0,N(U61)=0),"",V58*(P58*R58*T58+P59*R59*T59+P60*R60*T60+P61*R61*T61)/(P58*T58+P59*T59+P60*T60+P61*T61))</f>
        <v/>
      </c>
      <c r="W60" s="209" t="str">
        <f>IF(AND(N(AP60)=0,N(AP61)=0,N(AP59)=0),"",IF(AP61&gt;=0,COS(ATAN(AP61/AP60)),-COS(ATAN(AP61/AP60))))</f>
        <v/>
      </c>
      <c r="X60" s="180"/>
      <c r="Y60" s="181"/>
      <c r="Z60" s="182"/>
      <c r="AA60" s="183"/>
      <c r="AB60" s="184"/>
      <c r="AC60" s="181"/>
      <c r="AD60" s="182"/>
      <c r="AE60" s="185"/>
      <c r="AF60" s="136" t="str">
        <f>IF(OR(AF58="",AG54&lt;&gt;""),"",BA60/SQRT(AW60^2+AW61^2))</f>
        <v/>
      </c>
      <c r="AG60" s="205" t="str">
        <f>IF(AG58="","",100*((BA60/AQ59)-AG58)/(BA60/AQ59))</f>
        <v/>
      </c>
      <c r="AH60" s="206"/>
      <c r="AI60" s="208"/>
      <c r="AJ60" s="211"/>
      <c r="AK60" s="213"/>
      <c r="AL60" s="137"/>
      <c r="AM60" s="59"/>
      <c r="AN60" s="138" t="b">
        <f>IF(BA58="","",IF(AND(BA58=3,F60=50,L58="油入自冷"),VLOOKUP(L60,変３,2,FALSE),IF(AND(BA58=3,F60=50,L58="モ－ルド絶縁"),VLOOKUP(L60,変３,7,FALSE),IF(AND(BA58=3,F60=60,L58="油入自冷"),VLOOKUP(L60,変３,12,FALSE),IF(AND(BA58=3,F60=60,L58="モ－ルド絶縁"),VLOOKUP(L60,変３,17,FALSE),FALSE)))))</f>
        <v>0</v>
      </c>
      <c r="AO60" s="109" t="e">
        <f>IF(AND(#REF!="",N(AY58)&lt;10^29),AY58,"")</f>
        <v>#REF!</v>
      </c>
      <c r="AP60" s="139" t="str">
        <f>IF(V58="","",IF(AND(N(V60)=0,N(AP59)=0),"",AQ60/((AQ60*AP59)^2+(AP59*AQ61-1)^2)))</f>
        <v/>
      </c>
      <c r="AQ60" s="107">
        <f>IF(N(V60)=0,10^30,V60)</f>
        <v>1E+30</v>
      </c>
      <c r="AR60" s="109" t="str">
        <f>IF(AB58="","",IF(AB58="600V IV",VLOOKUP(AB60,ＩＶ,2,FALSE),IF(AB58="600V CV-T",VLOOKUP(AB60,ＣＶＴ,2,FALSE),IF(OR(AB58="600V CV-1C",AB58="600V CV-2C",AB58="600V CV-3C",AB58="600V CV-4C"),VLOOKUP(AB60,ＣＶ２３Ｃ,2,FALSE),VLOOKUP(AB60,ＣＵＳＥＲ,2,FALSE)))))</f>
        <v/>
      </c>
      <c r="AS60" s="107" t="str">
        <f>IF(OR(AND(AS122="",AS123=""),AND(D58="",D122&lt;&gt;"")),AS58,(AS58*(AT122^2+AT123^2)+AT122*(AS58^2+AS59^2))/((AS58+AT122)^2+(AS59+AT123)^2))</f>
        <v/>
      </c>
      <c r="AT60" s="110" t="str">
        <f>IF(X61="",AS60,N(AS60)+(X61/1000))</f>
        <v/>
      </c>
      <c r="AU60" s="110" t="str">
        <f>IF(AU58="","",(AT60*(AU58^2+AU59^2)+AU58*(AT60^2+AT61^2))/((AT60+AU58)^2+(AT61+AU59)^2))</f>
        <v/>
      </c>
      <c r="AV60" s="110">
        <f>IF(BA60=0,1,0)</f>
        <v>1</v>
      </c>
      <c r="AW60" s="111" t="e">
        <f>IF(AO60="","",AW58+AO60)</f>
        <v>#REF!</v>
      </c>
      <c r="AX60" s="112" t="e">
        <f>IF(AND(#REF!="",AW60&lt;&gt;""),BA60*SQRT(AW58^2+AW59^2)/SQRT(AW60^2+AW61^2),IF(BA60&lt;&gt;0,#REF!,""))</f>
        <v>#REF!</v>
      </c>
      <c r="AY60" s="140">
        <f>IF(L60="",10^30,SQRT(BA58)*(BA60^2)*(N(AN58)+N(AN60)+N(AO58)+N(AV58))/(100000*L60*M58))</f>
        <v>1E+30</v>
      </c>
      <c r="AZ60" s="141"/>
      <c r="BA60" s="114">
        <f>IF(AND(J58="",SUM(S58:S61)&lt;&gt;0),#REF!,J58)</f>
        <v>0</v>
      </c>
      <c r="BB60" s="115">
        <f>IF(AND(BA58=3,S60&lt;&gt;""),1,0)</f>
        <v>0</v>
      </c>
      <c r="BC60" s="52"/>
      <c r="BD60" s="52"/>
      <c r="BH60" s="162"/>
      <c r="BI60" s="162"/>
      <c r="BJ60" s="4"/>
      <c r="BK60" s="4"/>
    </row>
    <row r="61" spans="1:63" ht="15" customHeight="1" x14ac:dyDescent="0.15">
      <c r="A61" s="159"/>
      <c r="B61" s="159"/>
      <c r="C61" s="245"/>
      <c r="D61" s="442"/>
      <c r="E61" s="449"/>
      <c r="F61" s="444"/>
      <c r="G61" s="444"/>
      <c r="H61" s="444"/>
      <c r="I61" s="444"/>
      <c r="J61" s="444"/>
      <c r="K61" s="445"/>
      <c r="L61" s="238" t="str">
        <f>IF(M58="","",L60*1000*M58/(SQRT(BA58)*BA60))</f>
        <v/>
      </c>
      <c r="M61" s="239"/>
      <c r="N61" s="446"/>
      <c r="O61" s="186"/>
      <c r="P61" s="197"/>
      <c r="Q61" s="187"/>
      <c r="R61" s="188"/>
      <c r="S61" s="189" t="str">
        <f t="shared" si="2"/>
        <v/>
      </c>
      <c r="T61" s="190"/>
      <c r="U61" s="191" t="str">
        <f>IF(OR(BA60="",S61=""),"",S61*1000*T61/(SQRT(BA58)*BA60))</f>
        <v/>
      </c>
      <c r="V61" s="192" t="str">
        <f>IF(AND(N(U58)=0,N(U59)=0,N(U60)=0,N(U61)=0),"",IF(V58&gt;=0,SQRT(ABS(V58^2-V60^2)),-SQRT(V58^2-V60^2)))</f>
        <v/>
      </c>
      <c r="W61" s="210"/>
      <c r="X61" s="215" t="str">
        <f>IF(Y60="","",AQ58*Z60*AR58*((1+0.00393*(F61-20))/1.2751)/Y60)</f>
        <v/>
      </c>
      <c r="Y61" s="216"/>
      <c r="Z61" s="217" t="str">
        <f>IF(Y60="","",(BA61/50)*AQ58*Z60*AR59/Y60)</f>
        <v/>
      </c>
      <c r="AA61" s="218"/>
      <c r="AB61" s="219" t="str">
        <f>IF(AC60="","",AQ58*AD60*AR60*((1+0.00393*(F61-20))/1.2751)/AC60)</f>
        <v/>
      </c>
      <c r="AC61" s="216"/>
      <c r="AD61" s="217" t="str">
        <f>IF(AC60="","",(BA61/50)*AQ58*AD60*AR61/AC60)</f>
        <v/>
      </c>
      <c r="AE61" s="242"/>
      <c r="AF61" s="150" t="str">
        <f>IF(AND(AX58&lt;&gt;"",D58=""),AX58,"")</f>
        <v/>
      </c>
      <c r="AG61" s="243" t="str">
        <f>IF(AP60="","",AP60)</f>
        <v/>
      </c>
      <c r="AH61" s="244"/>
      <c r="AI61" s="151" t="str">
        <f>IF(AP61="","",AP61)</f>
        <v/>
      </c>
      <c r="AJ61" s="212"/>
      <c r="AK61" s="214"/>
      <c r="AL61" s="152"/>
      <c r="AM61" s="59"/>
      <c r="AN61" s="153" t="b">
        <f>IF(BA58="","",IF(AND(BA58=3,F60=50,L58="油入自冷"),VLOOKUP(L60,変３,3,FALSE),IF(AND(BA58=3,F60=50,L58="モ－ルド絶縁"),VLOOKUP(L60,変３,8,FALSE),IF(AND(BA58=3,F60=60,L58="油入自冷"),VLOOKUP(L60,変３,13,FALSE),IF(AND(BA58=3,F60=60,L58="モ－ルド絶縁"),VLOOKUP(L60,変３,18,FALSE),FALSE)))))</f>
        <v>0</v>
      </c>
      <c r="AO61" s="153" t="e">
        <f>IF(AND(#REF!="",N(AY59)&lt;10^29),AY59,"")</f>
        <v>#REF!</v>
      </c>
      <c r="AP61" s="154" t="str">
        <f>IF(V58="","",IF(AND(N(V61)=0,N(AP59)=0),0,(AQ61-AP59*(AQ60^2+AQ61^2))/((AQ60*AP59)^2+(AP59*AQ61-1)^2)))</f>
        <v/>
      </c>
      <c r="AQ61" s="155">
        <f>IF(N(V61)=0,10^30,V61)</f>
        <v>1E+30</v>
      </c>
      <c r="AR61" s="153" t="str">
        <f>IF(AB58="","",IF(AB58="600V IV",VLOOKUP(AB60,ＩＶ,3,FALSE),IF(AB58="600V CV-T",VLOOKUP(AB60,ＣＶＴ,3,FALSE),IF(OR(AB58="600V CV-1C",AB58="600V CV-2C",AB58="600V CV-3C",AB58="600V CV-4C"),VLOOKUP(AB60,ＣＶ２３Ｃ,3,FALSE),VLOOKUP(AB60,ＣＵＳＥＲ,3,FALSE)))))</f>
        <v/>
      </c>
      <c r="AS61" s="155" t="str">
        <f>IF(OR(AND(AS122="",AS123=""),AND(D58="",D122&lt;&gt;"")),AS59,(AS59*(AT122^2+AT123^2)+AT123*(AS58^2+AS59^2))/((AS58+AT122)^2+(AS59+AT123)^2))</f>
        <v/>
      </c>
      <c r="AT61" s="156" t="str">
        <f>IF(Z61="",AS61,N(AS61)+(Z61/1000))</f>
        <v/>
      </c>
      <c r="AU61" s="156" t="str">
        <f>IF(AU59="","",(AT61*(AU58^2+AU59^2)+AU59*(AT60^2+AT61^2))/((AT60+AU58)^2+(AT61+AU59)^2))</f>
        <v/>
      </c>
      <c r="AV61" s="156" t="e">
        <f>#REF!+AV60</f>
        <v>#REF!</v>
      </c>
      <c r="AW61" s="155" t="e">
        <f>IF(AO61="","",AW59+AO61)</f>
        <v>#REF!</v>
      </c>
      <c r="AX61" s="157"/>
      <c r="AY61" s="140">
        <f>IF(L60="",10^30,SQRT(BA58)*(BA60^2)*(N(AN59)+N(AN61)+N(AO59)+N(AV59))/(100000*L60*M58))</f>
        <v>1E+30</v>
      </c>
      <c r="AZ61" s="141"/>
      <c r="BA61" s="114">
        <f>IF(AND(F60="",SUM(S58:S61)&lt;&gt;0),#REF!,F60)</f>
        <v>0</v>
      </c>
      <c r="BB61" s="115">
        <f>IF(AND(BA58=3,S61&lt;&gt;""),1,0)</f>
        <v>0</v>
      </c>
      <c r="BC61" s="52"/>
      <c r="BD61" s="52"/>
      <c r="BH61" s="162"/>
      <c r="BI61" s="162"/>
      <c r="BJ61" s="4"/>
      <c r="BK61" s="4"/>
    </row>
    <row r="62" spans="1:63" ht="15" customHeight="1" x14ac:dyDescent="0.15">
      <c r="A62" s="159"/>
      <c r="B62" s="159"/>
      <c r="C62" s="245" t="str">
        <f>IF(BH62=1,"●","・")</f>
        <v>・</v>
      </c>
      <c r="D62" s="425"/>
      <c r="E62" s="447"/>
      <c r="F62" s="427"/>
      <c r="G62" s="240" t="str">
        <f>IF(F62="","","φ")</f>
        <v/>
      </c>
      <c r="H62" s="428"/>
      <c r="I62" s="240" t="str">
        <f>IF(H62="","","W")</f>
        <v/>
      </c>
      <c r="J62" s="428"/>
      <c r="K62" s="246" t="str">
        <f>IF(J62="","","V")</f>
        <v/>
      </c>
      <c r="L62" s="429"/>
      <c r="M62" s="430"/>
      <c r="N62" s="431"/>
      <c r="O62" s="164"/>
      <c r="P62" s="194"/>
      <c r="Q62" s="165"/>
      <c r="R62" s="166"/>
      <c r="S62" s="167" t="str">
        <f>IF(R62="","",IF(Q62="",P62/R62,P62/(Q62*R62)))</f>
        <v/>
      </c>
      <c r="T62" s="168"/>
      <c r="U62" s="169" t="str">
        <f>IF(OR(BA64="",S62=""),"",S62*1000*T62/(SQRT(BA62)*BA64))</f>
        <v/>
      </c>
      <c r="V62" s="236" t="str">
        <f>IF(AND(N(U62)=0,N(U63)=0,N(U64)=0,N(U65)=0),"",BA64/(SUM(U62:U65)))</f>
        <v/>
      </c>
      <c r="W62" s="220"/>
      <c r="X62" s="222"/>
      <c r="Y62" s="223"/>
      <c r="Z62" s="224"/>
      <c r="AA62" s="228"/>
      <c r="AB62" s="230"/>
      <c r="AC62" s="223"/>
      <c r="AD62" s="224"/>
      <c r="AE62" s="232"/>
      <c r="AF62" s="104" t="str">
        <f>IF(OR(AND(AF58="",N(BA60)=0,BA64&lt;&gt;0),D62&lt;&gt;""),AX64/AQ63,"")</f>
        <v/>
      </c>
      <c r="AG62" s="234" t="str">
        <f>IF(BA64=0,"",IF(AD64="",AX62,IF(AND(D62&lt;&gt;"",AU62=""),AX64*SQRT(AP64^2+AP65^2)/SQRT(AS62^2+AS63^2)/AQ63,AX62*SQRT(AP64^2+AP65^2)/SQRT(AS62^2+AS63^2))))</f>
        <v/>
      </c>
      <c r="AH62" s="235"/>
      <c r="AI62" s="105" t="str">
        <f>IF(AG62="","",IF(N(U62)&lt;0,-AX62*AQ63/SQRT(AS62^2+AS63^2),AX62*AQ63/SQRT(AS62^2+AS63^2)))</f>
        <v/>
      </c>
      <c r="AJ62" s="201"/>
      <c r="AK62" s="202"/>
      <c r="AL62" s="106"/>
      <c r="AM62" s="59"/>
      <c r="AN62" s="107" t="b">
        <f>IF(BA62="","",IF(AND(BA62=1,F64=50,L62="油入自冷"),VLOOKUP(L64,変１,2,FALSE),IF(AND(BA62=1,F64=50,L62="モ－ルド絶縁"),VLOOKUP(L64,変１,7,FALSE),IF(AND(BA62=1,F64=60,L62="油入自冷"),VLOOKUP(L64,変１,12,FALSE),IF(AND(BA62=1,F64=60,L62="モ－ルド絶縁"),VLOOKUP(L64,変１,17,FALSE),FALSE)))))</f>
        <v>0</v>
      </c>
      <c r="AO62" s="107">
        <f>IF(ISNA(VLOOKUP(L64,変ＵＳＥＲ,2,FALSE)),0,VLOOKUP(L64,変ＵＳＥＲ,2,FALSE))</f>
        <v>0</v>
      </c>
      <c r="AP62" s="108">
        <f>IF(N62="",0,N62*1000/BA64^2/SQRT(BA62))</f>
        <v>0</v>
      </c>
      <c r="AQ62" s="107" t="b">
        <f>IF(BA62=1,2,IF(BA62=3,SQRT(3),FALSE))</f>
        <v>0</v>
      </c>
      <c r="AR62" s="109" t="str">
        <f>IF(X62="","",IF(X62="600V IV",VLOOKUP(X64,ＩＶ,2,FALSE),IF(X62="600V CV-T",VLOOKUP(X64,ＣＶＴ,2,FALSE),IF(OR(X62="600V CV-1C",X62="600V CV-2C",X62="600V CV-3C",X62="600V CV-4C"),VLOOKUP(X64,ＣＶ２３Ｃ,2,FALSE),VLOOKUP(X64,ＣＵＳＥＲ,2,FALSE)))))</f>
        <v/>
      </c>
      <c r="AS62" s="107" t="str">
        <f>IF(AB65="",AP64,AP64+(AB65/1000))</f>
        <v/>
      </c>
      <c r="AT62" s="110" t="str">
        <f>IF(AU64="",AT64,AU64)</f>
        <v/>
      </c>
      <c r="AU62" s="110" t="str">
        <f>IF(D62="","",IF(AND(D126="",D130&lt;&gt;"",AV65=AV133),AT130,IF(AND(D126="",D130="",D134&lt;&gt;"",AV129=AV137),AT134,IF(AND(D126="",D130="",D134="",D138&lt;&gt;"",AV133=AV141),AT138,IF(AND(D126="",D130="",D134="",D138="",D142&lt;&gt;"",AV137=AV145),AT142,IF(AND(D126="",D130="",D134="",D138="",D142="",D146&lt;&gt;"",AV141=AV149),AT146,IF(AND(D126="",D130="",D134="",D138="",D142="",D146="",D150&lt;&gt;"",AV145=AV153),AT150,"")))))))</f>
        <v/>
      </c>
      <c r="AV62" s="110" t="str">
        <f>IF(L62="発電機",IF(ISNA(VLOOKUP(L64,ＡＣＧ,2,FALSE)),0,VLOOKUP(L64,ＡＣＧ,2,FALSE)),"")</f>
        <v/>
      </c>
      <c r="AW62" s="111" t="str">
        <f>IF(AT62="","",AT62/((AT62*AP62)^2+(AT63*AP62-1)^2))</f>
        <v/>
      </c>
      <c r="AX62" s="112" t="str">
        <f>IF(BA64=0,"",IF(OR(AX58="",AF62&lt;&gt;""),AF62*SQRT(AS64^2+AS65^2)/SQRT(AT64^2+AT65^2),AX58*SQRT(AS64^2+AS65^2)/SQRT(AT64^2+AT65^2)))</f>
        <v/>
      </c>
      <c r="AY62" s="113">
        <f>IF(N(AY64)=10^30,10^30,IF(N(AY128)=10^30,(N(AY64)*(N(AY128)^2+N(AY129)^2)+N(AY128)*(N(AY64)^2+N(AY65)^2))/((N(AY64)+N(AY128))^2+(N(AY65)+N(AY129))^2),(N(AY64)*(N(AY126)^2+N(AY127)^2)+N(AY126)*(N(AY64)^2+N(AY65)^2))/((N(AY64)+N(AY126))^2+(N(AY65)+N(AY127))^2)))</f>
        <v>1E+30</v>
      </c>
      <c r="AZ62" s="52"/>
      <c r="BA62" s="114">
        <f>IF(AND(F62="",SUM(S62:S65)&lt;&gt;0),BA58,F62)</f>
        <v>0</v>
      </c>
      <c r="BB62" s="115">
        <f>IF(AND(BA62=3,S62&lt;&gt;""),1,0)</f>
        <v>0</v>
      </c>
      <c r="BC62" s="52"/>
      <c r="BD62" s="52"/>
      <c r="BH62" s="162">
        <f>IF(OR(E62="",F65="",AND(OR(P62="",Q62="",R62="",T62=""),OR(P63="",Q63="",R63="",T63=""),OR(P64="",Q64="",R64="",T64=""),OR(P65="",Q65="",R65="",T65="")),AND(OR(X62="",X64="",Y64="",Z64=""),OR(AB62="",AB64="",AC64="",AD64=""))),0,1)</f>
        <v>0</v>
      </c>
      <c r="BI62" s="162">
        <f>BH62+BI58</f>
        <v>4</v>
      </c>
      <c r="BJ62" s="4"/>
      <c r="BK62" s="4"/>
    </row>
    <row r="63" spans="1:63" ht="15" customHeight="1" x14ac:dyDescent="0.15">
      <c r="A63" s="159"/>
      <c r="B63" s="159"/>
      <c r="C63" s="245"/>
      <c r="D63" s="432"/>
      <c r="E63" s="448"/>
      <c r="F63" s="434"/>
      <c r="G63" s="241"/>
      <c r="H63" s="435"/>
      <c r="I63" s="241"/>
      <c r="J63" s="435"/>
      <c r="K63" s="247"/>
      <c r="L63" s="436"/>
      <c r="M63" s="170" t="str">
        <f>IF(L62="発電機",SQRT(AV62^2+AV63^2),IF(L64="","",IF(OR(L62="油入自冷",L62="モ－ルド絶縁"),IF(BA62=1,SQRT(AN62^2+AN63^2),IF(BA62=3,SQRT(AN64^2+AN65^2))),SQRT(AO62^2+AO63^2))))</f>
        <v/>
      </c>
      <c r="N63" s="437"/>
      <c r="O63" s="171"/>
      <c r="P63" s="195"/>
      <c r="Q63" s="172"/>
      <c r="R63" s="173"/>
      <c r="S63" s="174" t="str">
        <f t="shared" si="2"/>
        <v/>
      </c>
      <c r="T63" s="175"/>
      <c r="U63" s="176" t="str">
        <f>IF(OR(BA64="",S63=""),"",S63*1000*T63/(SQRT(BA62)*BA64))</f>
        <v/>
      </c>
      <c r="V63" s="237"/>
      <c r="W63" s="221"/>
      <c r="X63" s="225"/>
      <c r="Y63" s="226"/>
      <c r="Z63" s="227"/>
      <c r="AA63" s="229"/>
      <c r="AB63" s="231"/>
      <c r="AC63" s="226"/>
      <c r="AD63" s="227"/>
      <c r="AE63" s="233"/>
      <c r="AF63" s="124" t="str">
        <f>IF(OR(AF62="",AG58&lt;&gt;""),"",AF62*AQ63/SQRT(AT62^2+AT63^2))</f>
        <v/>
      </c>
      <c r="AG63" s="205" t="str">
        <f>IF(AG62="","",100*AG62*AQ63/BA64)</f>
        <v/>
      </c>
      <c r="AH63" s="206"/>
      <c r="AI63" s="207" t="str">
        <f>IF(BA64=0,"",IF(AI58="",AX64/SQRT(AT62^2+AT63^2),IF(AI66="","",IF(AT62&lt;0,-AX62*AQ59/SQRT(AT62^2+AT63^2),AX62*AQ59/SQRT(AT62^2+AT63^2)))))</f>
        <v/>
      </c>
      <c r="AJ63" s="203"/>
      <c r="AK63" s="204"/>
      <c r="AL63" s="125"/>
      <c r="AM63" s="59"/>
      <c r="AN63" s="107" t="b">
        <f>IF(BA62="","",IF(AND(BA62=1,F64=50,L62="油入自冷"),VLOOKUP(L64,変１,3,FALSE),IF(AND(BA62=1,F64=50,L62="モ－ルド絶縁"),VLOOKUP(L64,変１,8,FALSE),IF(AND(BA62=1,F64=60,L62="油入自冷"),VLOOKUP(L64,変１,13,FALSE),IF(AND(BA62=1,F64=60,L62="モ－ルド絶縁"),VLOOKUP(L64,変１,18,FALSE),FALSE)))))</f>
        <v>0</v>
      </c>
      <c r="AO63" s="107">
        <f>IF(ISNA(VLOOKUP(L64,変ＵＳＥＲ,3,FALSE)),0,VLOOKUP(L64,変ＵＳＥＲ,3,FALSE)*BA65/50)</f>
        <v>0</v>
      </c>
      <c r="AP63" s="108">
        <f>IF(W62="",0,W62*1000/BA64^2/SQRT(BA62))</f>
        <v>0</v>
      </c>
      <c r="AQ63" s="107">
        <f>IF(AND(BA62=1,BA63=2),1,IF(AND(BA62=3,BA63=3),1,IF(AND(BA62=1,BA63=3),2,IF(AND(BA62=3,BA63=4)*OR(BB62=1,BB63=1,BB64=1,BB65=1),1,SQRT(3)))))</f>
        <v>1.7320508075688772</v>
      </c>
      <c r="AR63" s="109" t="str">
        <f>IF(X62="","",IF(X62="600V IV",VLOOKUP(X64,ＩＶ,3,FALSE),IF(X62="600V CV-T",VLOOKUP(X64,ＣＶＴ,3,FALSE),IF(OR(X62="600V CV-1C",X62="600V CV-2C",X62="600V CV-3C",X62="600V CV-4C"),VLOOKUP(X64,ＣＶ２３Ｃ,3,FALSE),VLOOKUP(X64,ＣＵＳＥＲ,3,FALSE)))))</f>
        <v/>
      </c>
      <c r="AS63" s="107" t="str">
        <f>IF(AD65="",AP65,AP65+(AD65/1000))</f>
        <v/>
      </c>
      <c r="AT63" s="110" t="str">
        <f>IF(AU65="",AT65,AU65)</f>
        <v/>
      </c>
      <c r="AU63" s="110" t="str">
        <f>IF(D62="","",IF(AND(D126="",D130&lt;&gt;"",AV65=AV133),AT131,IF(AND(D126="",D130="",D134&lt;&gt;"",AV129=AV137),AT135,IF(AND(D126="",D130="",D134="",D138&lt;&gt;"",AV133=AV141),AT139,IF(AND(D126="",D130="",D134="",D138="",D142&lt;&gt;"",AV137=AV145),AT143,IF(AND(D126="",D130="",D134="",D138="",D142="",D146&lt;&gt;"",AV141=AV149),AT147,IF(AND(D126="",D130="",D134="",D138="",D142="",D146="",D150&lt;&gt;"",AV145=AV153),AT151,"")))))))</f>
        <v/>
      </c>
      <c r="AV63" s="109" t="str">
        <f>IF(L62="発電機",IF(ISNA(VLOOKUP(L64,ＡＣＧ,3,FALSE)),0,VLOOKUP(L64,ＡＣＧ,3,FALSE)*BA65/50),"")</f>
        <v/>
      </c>
      <c r="AW63" s="111" t="str">
        <f>IF(AT63="","",(AT63-AP62*(AT62^2+AT63^2))/((AT62*AP62)^2+(AP62*AT63-1)^2))</f>
        <v/>
      </c>
      <c r="AX63" s="112"/>
      <c r="AY63" s="113">
        <f>IF(N(AY65)=10^30,10^30,IF(N(AY129)=10^30,(N(AY65)*(N(AY128)^2+N(AY129)^2)+N(AY129)*(N(AY64)^2+N(AY65)^2))/((N(AY64)+N(AY128))^2+(N(AY65)+N(AY129))^2),(N(AY65)*(N(AY126)^2+N(AY127)^2)+N(AY127)*(N(AY64)^2+N(AY65)^2))/((N(AY64)+N(AY126))^2+(N(AY65)+N(AY127))^2)))</f>
        <v>1E+30</v>
      </c>
      <c r="AZ63" s="52"/>
      <c r="BA63" s="114">
        <f>IF(AND(H62="",SUM(S62:S65)&lt;&gt;0),BA59,H62)</f>
        <v>0</v>
      </c>
      <c r="BB63" s="115">
        <f>IF(AND(BA62=3,S63&lt;&gt;""),1,0)</f>
        <v>0</v>
      </c>
      <c r="BC63" s="52"/>
      <c r="BD63" s="52"/>
      <c r="BH63" s="162"/>
      <c r="BI63" s="162"/>
      <c r="BJ63" s="4"/>
      <c r="BK63" s="4"/>
    </row>
    <row r="64" spans="1:63" ht="15" customHeight="1" x14ac:dyDescent="0.15">
      <c r="A64" s="159"/>
      <c r="B64" s="159"/>
      <c r="C64" s="245"/>
      <c r="D64" s="432"/>
      <c r="E64" s="448"/>
      <c r="F64" s="438"/>
      <c r="G64" s="438"/>
      <c r="H64" s="438"/>
      <c r="I64" s="438"/>
      <c r="J64" s="438"/>
      <c r="K64" s="439"/>
      <c r="L64" s="440"/>
      <c r="M64" s="441"/>
      <c r="N64" s="437"/>
      <c r="O64" s="171"/>
      <c r="P64" s="196"/>
      <c r="Q64" s="177"/>
      <c r="R64" s="173"/>
      <c r="S64" s="174" t="str">
        <f t="shared" si="2"/>
        <v/>
      </c>
      <c r="T64" s="175"/>
      <c r="U64" s="178" t="str">
        <f>IF(OR(BA64="",S64=""),"",S64*1000*T64/(SQRT(BA62)*BA64))</f>
        <v/>
      </c>
      <c r="V64" s="179" t="str">
        <f>IF(AND(N(U62)=0,N(U63)=0,N(U64)=0,N(U65)=0),"",V62*(P62*R62*T62+P63*R63*T63+P64*R64*T64+P65*R65*T65)/(P62*T62+P63*T63+P64*T64+P65*T65))</f>
        <v/>
      </c>
      <c r="W64" s="209" t="str">
        <f>IF(AND(N(AP64)=0,N(AP65)=0,N(AP63)=0),"",IF(AP65&gt;=0,COS(ATAN(AP65/AP64)),-COS(ATAN(AP65/AP64))))</f>
        <v/>
      </c>
      <c r="X64" s="180"/>
      <c r="Y64" s="181"/>
      <c r="Z64" s="182"/>
      <c r="AA64" s="183"/>
      <c r="AB64" s="184"/>
      <c r="AC64" s="181"/>
      <c r="AD64" s="182"/>
      <c r="AE64" s="185"/>
      <c r="AF64" s="136" t="str">
        <f>IF(OR(AF62="",AG58&lt;&gt;""),"",BA64/SQRT(AW64^2+AW65^2))</f>
        <v/>
      </c>
      <c r="AG64" s="205" t="str">
        <f>IF(AG62="","",100*((BA64/AQ63)-AG62)/(BA64/AQ63))</f>
        <v/>
      </c>
      <c r="AH64" s="206"/>
      <c r="AI64" s="208"/>
      <c r="AJ64" s="211"/>
      <c r="AK64" s="213"/>
      <c r="AL64" s="137"/>
      <c r="AM64" s="59"/>
      <c r="AN64" s="138" t="b">
        <f>IF(BA62="","",IF(AND(BA62=3,F64=50,L62="油入自冷"),VLOOKUP(L64,変３,2,FALSE),IF(AND(BA62=3,F64=50,L62="モ－ルド絶縁"),VLOOKUP(L64,変３,7,FALSE),IF(AND(BA62=3,F64=60,L62="油入自冷"),VLOOKUP(L64,変３,12,FALSE),IF(AND(BA62=3,F64=60,L62="モ－ルド絶縁"),VLOOKUP(L64,変３,17,FALSE),FALSE)))))</f>
        <v>0</v>
      </c>
      <c r="AO64" s="109" t="str">
        <f>IF(AND(L58="",N(AY62)&lt;10^29),AY62,"")</f>
        <v/>
      </c>
      <c r="AP64" s="139" t="str">
        <f>IF(V62="","",IF(AND(N(V64)=0,N(AP63)=0),"",AQ64/((AQ64*AP63)^2+(AP63*AQ65-1)^2)))</f>
        <v/>
      </c>
      <c r="AQ64" s="107">
        <f>IF(N(V64)=0,10^30,V64)</f>
        <v>1E+30</v>
      </c>
      <c r="AR64" s="109" t="str">
        <f>IF(AB62="","",IF(AB62="600V IV",VLOOKUP(AB64,ＩＶ,2,FALSE),IF(AB62="600V CV-T",VLOOKUP(AB64,ＣＶＴ,2,FALSE),IF(OR(AB62="600V CV-1C",AB62="600V CV-2C",AB62="600V CV-3C",AB62="600V CV-4C"),VLOOKUP(AB64,ＣＶ２３Ｃ,2,FALSE),VLOOKUP(AB64,ＣＵＳＥＲ,2,FALSE)))))</f>
        <v/>
      </c>
      <c r="AS64" s="107" t="str">
        <f>IF(OR(AND(AS126="",AS127=""),AND(D62="",D126&lt;&gt;"")),AS62,(AS62*(AT126^2+AT127^2)+AT126*(AS62^2+AS63^2))/((AS62+AT126)^2+(AS63+AT127)^2))</f>
        <v/>
      </c>
      <c r="AT64" s="110" t="str">
        <f>IF(X65="",AS64,N(AS64)+(X65/1000))</f>
        <v/>
      </c>
      <c r="AU64" s="110" t="str">
        <f>IF(AU62="","",(AT64*(AU62^2+AU63^2)+AU62*(AT64^2+AT65^2))/((AT64+AU62)^2+(AT65+AU63)^2))</f>
        <v/>
      </c>
      <c r="AV64" s="110">
        <f>IF(BA64=0,1,0)</f>
        <v>1</v>
      </c>
      <c r="AW64" s="111" t="str">
        <f>IF(AO64="","",AW62+AO64)</f>
        <v/>
      </c>
      <c r="AX64" s="112" t="e">
        <f>IF(AND(AX60="",AW64&lt;&gt;""),BA64*SQRT(AW62^2+AW63^2)/SQRT(AW64^2+AW65^2),IF(BA64&lt;&gt;0,AX60,""))</f>
        <v>#REF!</v>
      </c>
      <c r="AY64" s="140">
        <f>IF(L64="",10^30,SQRT(BA62)*(BA64^2)*(N(AN62)+N(AN64)+N(AO62)+N(AV62))/(100000*L64*M62))</f>
        <v>1E+30</v>
      </c>
      <c r="AZ64" s="141"/>
      <c r="BA64" s="114">
        <f>IF(AND(J62="",SUM(S62:S65)&lt;&gt;0),BA60,J62)</f>
        <v>0</v>
      </c>
      <c r="BB64" s="115">
        <f>IF(AND(BA62=3,S64&lt;&gt;""),1,0)</f>
        <v>0</v>
      </c>
      <c r="BC64" s="52"/>
      <c r="BD64" s="52"/>
      <c r="BH64" s="162"/>
      <c r="BI64" s="162"/>
      <c r="BJ64" s="4"/>
      <c r="BK64" s="4"/>
    </row>
    <row r="65" spans="1:63" ht="15" customHeight="1" x14ac:dyDescent="0.15">
      <c r="A65" s="159"/>
      <c r="B65" s="159"/>
      <c r="C65" s="245"/>
      <c r="D65" s="442"/>
      <c r="E65" s="449"/>
      <c r="F65" s="444"/>
      <c r="G65" s="444"/>
      <c r="H65" s="444"/>
      <c r="I65" s="444"/>
      <c r="J65" s="444"/>
      <c r="K65" s="445"/>
      <c r="L65" s="238" t="str">
        <f>IF(M62="","",L64*1000*M62/(SQRT(BA62)*BA64))</f>
        <v/>
      </c>
      <c r="M65" s="239"/>
      <c r="N65" s="446"/>
      <c r="O65" s="186"/>
      <c r="P65" s="197"/>
      <c r="Q65" s="187"/>
      <c r="R65" s="188"/>
      <c r="S65" s="189" t="str">
        <f t="shared" si="2"/>
        <v/>
      </c>
      <c r="T65" s="190"/>
      <c r="U65" s="191" t="str">
        <f>IF(OR(BA64="",S65=""),"",S65*1000*T65/(SQRT(BA62)*BA64))</f>
        <v/>
      </c>
      <c r="V65" s="192" t="str">
        <f>IF(AND(N(U62)=0,N(U63)=0,N(U64)=0,N(U65)=0),"",IF(V62&gt;=0,SQRT(ABS(V62^2-V64^2)),-SQRT(V62^2-V64^2)))</f>
        <v/>
      </c>
      <c r="W65" s="210"/>
      <c r="X65" s="215" t="str">
        <f>IF(Y64="","",AQ62*Z64*AR62*((1+0.00393*(F65-20))/1.2751)/Y64)</f>
        <v/>
      </c>
      <c r="Y65" s="216"/>
      <c r="Z65" s="217" t="str">
        <f>IF(Y64="","",(BA65/50)*AQ62*Z64*AR63/Y64)</f>
        <v/>
      </c>
      <c r="AA65" s="218"/>
      <c r="AB65" s="219" t="str">
        <f>IF(AC64="","",AQ62*AD64*AR64*((1+0.00393*(F65-20))/1.2751)/AC64)</f>
        <v/>
      </c>
      <c r="AC65" s="216"/>
      <c r="AD65" s="217" t="str">
        <f>IF(AC64="","",(BA65/50)*AQ62*AD64*AR65/AC64)</f>
        <v/>
      </c>
      <c r="AE65" s="242"/>
      <c r="AF65" s="150" t="str">
        <f>IF(AND(AX62&lt;&gt;"",D62=""),AX62,"")</f>
        <v/>
      </c>
      <c r="AG65" s="243" t="str">
        <f>IF(AP64="","",AP64)</f>
        <v/>
      </c>
      <c r="AH65" s="244"/>
      <c r="AI65" s="151" t="str">
        <f>IF(AP65="","",AP65)</f>
        <v/>
      </c>
      <c r="AJ65" s="212"/>
      <c r="AK65" s="214"/>
      <c r="AL65" s="152"/>
      <c r="AM65" s="59"/>
      <c r="AN65" s="153" t="b">
        <f>IF(BA62="","",IF(AND(BA62=3,F64=50,L62="油入自冷"),VLOOKUP(L64,変３,3,FALSE),IF(AND(BA62=3,F64=50,L62="モ－ルド絶縁"),VLOOKUP(L64,変３,8,FALSE),IF(AND(BA62=3,F64=60,L62="油入自冷"),VLOOKUP(L64,変３,13,FALSE),IF(AND(BA62=3,F64=60,L62="モ－ルド絶縁"),VLOOKUP(L64,変３,18,FALSE),FALSE)))))</f>
        <v>0</v>
      </c>
      <c r="AO65" s="153" t="str">
        <f>IF(AND(L58="",N(AY63)&lt;10^29),AY63,"")</f>
        <v/>
      </c>
      <c r="AP65" s="154" t="str">
        <f>IF(V62="","",IF(AND(N(V65)=0,N(AP63)=0),0,(AQ65-AP63*(AQ64^2+AQ65^2))/((AQ64*AP63)^2+(AP63*AQ65-1)^2)))</f>
        <v/>
      </c>
      <c r="AQ65" s="155">
        <f>IF(N(V65)=0,10^30,V65)</f>
        <v>1E+30</v>
      </c>
      <c r="AR65" s="153" t="str">
        <f>IF(AB62="","",IF(AB62="600V IV",VLOOKUP(AB64,ＩＶ,3,FALSE),IF(AB62="600V CV-T",VLOOKUP(AB64,ＣＶＴ,3,FALSE),IF(OR(AB62="600V CV-1C",AB62="600V CV-2C",AB62="600V CV-3C",AB62="600V CV-4C"),VLOOKUP(AB64,ＣＶ２３Ｃ,3,FALSE),VLOOKUP(AB64,ＣＵＳＥＲ,3,FALSE)))))</f>
        <v/>
      </c>
      <c r="AS65" s="155" t="str">
        <f>IF(OR(AND(AS126="",AS127=""),AND(D62="",D126&lt;&gt;"")),AS63,(AS63*(AT126^2+AT127^2)+AT127*(AS62^2+AS63^2))/((AS62+AT126)^2+(AS63+AT127)^2))</f>
        <v/>
      </c>
      <c r="AT65" s="156" t="str">
        <f>IF(Z65="",AS65,N(AS65)+(Z65/1000))</f>
        <v/>
      </c>
      <c r="AU65" s="156" t="str">
        <f>IF(AU63="","",(AT65*(AU62^2+AU63^2)+AU63*(AT64^2+AT65^2))/((AT64+AU62)^2+(AT65+AU63)^2))</f>
        <v/>
      </c>
      <c r="AV65" s="156" t="e">
        <f>AV61+AV64</f>
        <v>#REF!</v>
      </c>
      <c r="AW65" s="155" t="str">
        <f>IF(AO65="","",AW63+AO65)</f>
        <v/>
      </c>
      <c r="AX65" s="157"/>
      <c r="AY65" s="140">
        <f>IF(L64="",10^30,SQRT(BA62)*(BA64^2)*(N(AN63)+N(AN65)+N(AO63)+N(AV63))/(100000*L64*M62))</f>
        <v>1E+30</v>
      </c>
      <c r="AZ65" s="141"/>
      <c r="BA65" s="114">
        <f>IF(AND(F64="",SUM(S62:S65)&lt;&gt;0),BA61,F64)</f>
        <v>0</v>
      </c>
      <c r="BB65" s="115">
        <f>IF(AND(BA62=3,S65&lt;&gt;""),1,0)</f>
        <v>0</v>
      </c>
      <c r="BC65" s="52"/>
      <c r="BD65" s="52"/>
      <c r="BH65" s="162"/>
      <c r="BI65" s="162"/>
      <c r="BJ65" s="4"/>
      <c r="BK65" s="4"/>
    </row>
    <row r="66" spans="1:63" ht="15" customHeight="1" x14ac:dyDescent="0.15">
      <c r="A66" s="159"/>
      <c r="B66" s="159"/>
      <c r="C66" s="245" t="str">
        <f>IF(BH66=1,"●","・")</f>
        <v>・</v>
      </c>
      <c r="D66" s="425"/>
      <c r="E66" s="447"/>
      <c r="F66" s="427"/>
      <c r="G66" s="240" t="str">
        <f>IF(F66="","","φ")</f>
        <v/>
      </c>
      <c r="H66" s="428"/>
      <c r="I66" s="240" t="str">
        <f>IF(H66="","","W")</f>
        <v/>
      </c>
      <c r="J66" s="428"/>
      <c r="K66" s="246" t="str">
        <f>IF(J66="","","V")</f>
        <v/>
      </c>
      <c r="L66" s="429"/>
      <c r="M66" s="430"/>
      <c r="N66" s="431"/>
      <c r="O66" s="164"/>
      <c r="P66" s="194"/>
      <c r="Q66" s="165"/>
      <c r="R66" s="166"/>
      <c r="S66" s="167" t="str">
        <f>IF(R66="","",IF(Q66="",P66/R66,P66/(Q66*R66)))</f>
        <v/>
      </c>
      <c r="T66" s="168"/>
      <c r="U66" s="169" t="str">
        <f>IF(OR(BA68="",S66=""),"",S66*1000*T66/(SQRT(BA66)*BA68))</f>
        <v/>
      </c>
      <c r="V66" s="236" t="str">
        <f>IF(AND(N(U66)=0,N(U67)=0,N(U68)=0,N(U69)=0),"",BA68/(SUM(U66:U69)))</f>
        <v/>
      </c>
      <c r="W66" s="220"/>
      <c r="X66" s="222"/>
      <c r="Y66" s="223"/>
      <c r="Z66" s="224"/>
      <c r="AA66" s="228"/>
      <c r="AB66" s="230"/>
      <c r="AC66" s="223"/>
      <c r="AD66" s="224"/>
      <c r="AE66" s="232"/>
      <c r="AF66" s="104" t="str">
        <f>IF(OR(AND(AF62="",N(BA64)=0,BA68&lt;&gt;0),D66&lt;&gt;""),AX68/AQ67,"")</f>
        <v/>
      </c>
      <c r="AG66" s="234" t="str">
        <f>IF(BA68=0,"",IF(AD68="",AX66,IF(AND(D66&lt;&gt;"",AU66=""),AX68*SQRT(AP68^2+AP69^2)/SQRT(AS66^2+AS67^2)/AQ67,AX66*SQRT(AP68^2+AP69^2)/SQRT(AS66^2+AS67^2))))</f>
        <v/>
      </c>
      <c r="AH66" s="235"/>
      <c r="AI66" s="105" t="str">
        <f>IF(AG66="","",IF(N(U66)&lt;0,-AX66*AQ67/SQRT(AS66^2+AS67^2),AX66*AQ67/SQRT(AS66^2+AS67^2)))</f>
        <v/>
      </c>
      <c r="AJ66" s="201"/>
      <c r="AK66" s="202"/>
      <c r="AL66" s="106"/>
      <c r="AM66" s="59"/>
      <c r="AN66" s="107" t="b">
        <f>IF(BA66="","",IF(AND(BA66=1,F68=50,L66="油入自冷"),VLOOKUP(L68,変１,2,FALSE),IF(AND(BA66=1,F68=50,L66="モ－ルド絶縁"),VLOOKUP(L68,変１,7,FALSE),IF(AND(BA66=1,F68=60,L66="油入自冷"),VLOOKUP(L68,変１,12,FALSE),IF(AND(BA66=1,F68=60,L66="モ－ルド絶縁"),VLOOKUP(L68,変１,17,FALSE),FALSE)))))</f>
        <v>0</v>
      </c>
      <c r="AO66" s="107">
        <f>IF(ISNA(VLOOKUP(L68,変ＵＳＥＲ,2,FALSE)),0,VLOOKUP(L68,変ＵＳＥＲ,2,FALSE))</f>
        <v>0</v>
      </c>
      <c r="AP66" s="108">
        <f>IF(N66="",0,N66*1000/BA68^2/SQRT(BA66))</f>
        <v>0</v>
      </c>
      <c r="AQ66" s="107" t="b">
        <f>IF(BA66=1,2,IF(BA66=3,SQRT(3),FALSE))</f>
        <v>0</v>
      </c>
      <c r="AR66" s="109" t="str">
        <f>IF(X66="","",IF(X66="600V IV",VLOOKUP(X68,ＩＶ,2,FALSE),IF(X66="600V CV-T",VLOOKUP(X68,ＣＶＴ,2,FALSE),IF(OR(X66="600V CV-1C",X66="600V CV-2C",X66="600V CV-3C",X66="600V CV-4C"),VLOOKUP(X68,ＣＶ２３Ｃ,2,FALSE),VLOOKUP(X68,ＣＵＳＥＲ,2,FALSE)))))</f>
        <v/>
      </c>
      <c r="AS66" s="107" t="str">
        <f>IF(AB69="",AP68,AP68+(AB69/1000))</f>
        <v/>
      </c>
      <c r="AT66" s="110" t="str">
        <f>IF(AU68="",AT68,AU68)</f>
        <v/>
      </c>
      <c r="AU66" s="110" t="str">
        <f>IF(D66="","",IF(AND(D130="",D134&lt;&gt;"",AV69=AV137),AT134,IF(AND(D130="",D134="",D138&lt;&gt;"",AV133=AV141),AT138,IF(AND(D130="",D134="",D138="",D142&lt;&gt;"",AV137=AV145),AT142,IF(AND(D130="",D134="",D138="",D142="",D146&lt;&gt;"",AV141=AV149),AT146,IF(AND(D130="",D134="",D138="",D142="",D146="",D150&lt;&gt;"",AV145=AV153),AT150,IF(AND(D130="",D134="",D138="",D142="",D146="",D150="",D154&lt;&gt;"",AV149=AV157),AT154,"")))))))</f>
        <v/>
      </c>
      <c r="AV66" s="110" t="str">
        <f>IF(L66="発電機",IF(ISNA(VLOOKUP(L68,ＡＣＧ,2,FALSE)),0,VLOOKUP(L68,ＡＣＧ,2,FALSE)),"")</f>
        <v/>
      </c>
      <c r="AW66" s="111" t="str">
        <f>IF(AT66="","",AT66/((AT66*AP66)^2+(AT67*AP66-1)^2))</f>
        <v/>
      </c>
      <c r="AX66" s="112" t="str">
        <f>IF(BA68=0,"",IF(OR(AX62="",AF66&lt;&gt;""),AF66*SQRT(AS68^2+AS69^2)/SQRT(AT68^2+AT69^2),AX62*SQRT(AS68^2+AS69^2)/SQRT(AT68^2+AT69^2)))</f>
        <v/>
      </c>
      <c r="AY66" s="113">
        <f>IF(N(AY68)=10^30,10^30,IF(N(AY132)=10^30,(N(AY68)*(N(AY132)^2+N(AY133)^2)+N(AY132)*(N(AY68)^2+N(AY69)^2))/((N(AY68)+N(AY132))^2+(N(AY69)+N(AY133))^2),(N(AY68)*(N(AY130)^2+N(AY131)^2)+N(AY130)*(N(AY68)^2+N(AY69)^2))/((N(AY68)+N(AY130))^2+(N(AY69)+N(AY131))^2)))</f>
        <v>1E+30</v>
      </c>
      <c r="AZ66" s="52"/>
      <c r="BA66" s="114">
        <f>IF(AND(F66="",SUM(S66:S69)&lt;&gt;0),BA62,F66)</f>
        <v>0</v>
      </c>
      <c r="BB66" s="115">
        <f>IF(AND(BA66=3,S66&lt;&gt;""),1,0)</f>
        <v>0</v>
      </c>
      <c r="BC66" s="52"/>
      <c r="BD66" s="52"/>
      <c r="BH66" s="162">
        <f>IF(OR(E66="",F69="",AND(OR(P66="",Q66="",R66="",T66=""),OR(P67="",Q67="",R67="",T67=""),OR(P68="",Q68="",R68="",T68=""),OR(P69="",Q69="",R69="",T69="")),AND(OR(X66="",X68="",Y68="",Z68=""),OR(AB66="",AB68="",AC68="",AD68=""))),0,1)</f>
        <v>0</v>
      </c>
      <c r="BI66" s="162">
        <f>BH66+BI62</f>
        <v>4</v>
      </c>
      <c r="BJ66" s="4"/>
      <c r="BK66" s="4"/>
    </row>
    <row r="67" spans="1:63" ht="15" customHeight="1" x14ac:dyDescent="0.15">
      <c r="A67" s="159"/>
      <c r="B67" s="159"/>
      <c r="C67" s="245"/>
      <c r="D67" s="432"/>
      <c r="E67" s="448"/>
      <c r="F67" s="434"/>
      <c r="G67" s="241"/>
      <c r="H67" s="435"/>
      <c r="I67" s="241"/>
      <c r="J67" s="435"/>
      <c r="K67" s="247"/>
      <c r="L67" s="436"/>
      <c r="M67" s="170" t="str">
        <f>IF(L66="発電機",SQRT(AV66^2+AV67^2),IF(L68="","",IF(OR(L66="油入自冷",L66="モ－ルド絶縁"),IF(BA66=1,SQRT(AN66^2+AN67^2),IF(BA66=3,SQRT(AN68^2+AN69^2))),SQRT(AO66^2+AO67^2))))</f>
        <v/>
      </c>
      <c r="N67" s="437"/>
      <c r="O67" s="171"/>
      <c r="P67" s="195"/>
      <c r="Q67" s="172"/>
      <c r="R67" s="173"/>
      <c r="S67" s="174" t="str">
        <f t="shared" si="2"/>
        <v/>
      </c>
      <c r="T67" s="175"/>
      <c r="U67" s="176" t="str">
        <f>IF(OR(BA68="",S67=""),"",S67*1000*T67/(SQRT(BA66)*BA68))</f>
        <v/>
      </c>
      <c r="V67" s="237"/>
      <c r="W67" s="221"/>
      <c r="X67" s="225"/>
      <c r="Y67" s="226"/>
      <c r="Z67" s="227"/>
      <c r="AA67" s="229"/>
      <c r="AB67" s="231"/>
      <c r="AC67" s="226"/>
      <c r="AD67" s="227"/>
      <c r="AE67" s="233"/>
      <c r="AF67" s="124" t="str">
        <f>IF(OR(AF66="",AG62&lt;&gt;""),"",AF66*AQ67/SQRT(AT66^2+AT67^2))</f>
        <v/>
      </c>
      <c r="AG67" s="205" t="str">
        <f>IF(AG66="","",100*AG66*AQ67/BA68)</f>
        <v/>
      </c>
      <c r="AH67" s="206"/>
      <c r="AI67" s="207" t="str">
        <f>IF(BA68=0,"",IF(AI62="",AX68/SQRT(AT66^2+AT67^2),IF(AI70="","",IF(AT66&lt;0,-AX66*AQ63/SQRT(AT66^2+AT67^2),AX66*AQ63/SQRT(AT66^2+AT67^2)))))</f>
        <v/>
      </c>
      <c r="AJ67" s="203"/>
      <c r="AK67" s="204"/>
      <c r="AL67" s="125"/>
      <c r="AM67" s="59"/>
      <c r="AN67" s="107" t="b">
        <f>IF(BA66="","",IF(AND(BA66=1,F68=50,L66="油入自冷"),VLOOKUP(L68,変１,3,FALSE),IF(AND(BA66=1,F68=50,L66="モ－ルド絶縁"),VLOOKUP(L68,変１,8,FALSE),IF(AND(BA66=1,F68=60,L66="油入自冷"),VLOOKUP(L68,変１,13,FALSE),IF(AND(BA66=1,F68=60,L66="モ－ルド絶縁"),VLOOKUP(L68,変１,18,FALSE),FALSE)))))</f>
        <v>0</v>
      </c>
      <c r="AO67" s="107">
        <f>IF(ISNA(VLOOKUP(L68,変ＵＳＥＲ,3,FALSE)),0,VLOOKUP(L68,変ＵＳＥＲ,3,FALSE)*BA69/50)</f>
        <v>0</v>
      </c>
      <c r="AP67" s="108">
        <f>IF(W66="",0,W66*1000/BA68^2/SQRT(BA66))</f>
        <v>0</v>
      </c>
      <c r="AQ67" s="107">
        <f>IF(AND(BA66=1,BA67=2),1,IF(AND(BA66=3,BA67=3),1,IF(AND(BA66=1,BA67=3),2,IF(AND(BA66=3,BA67=4)*OR(BB66=1,BB67=1,BB68=1,BB69=1),1,SQRT(3)))))</f>
        <v>1.7320508075688772</v>
      </c>
      <c r="AR67" s="109" t="str">
        <f>IF(X66="","",IF(X66="600V IV",VLOOKUP(X68,ＩＶ,3,FALSE),IF(X66="600V CV-T",VLOOKUP(X68,ＣＶＴ,3,FALSE),IF(OR(X66="600V CV-1C",X66="600V CV-2C",X66="600V CV-3C",X66="600V CV-4C"),VLOOKUP(X68,ＣＶ２３Ｃ,3,FALSE),VLOOKUP(X68,ＣＵＳＥＲ,3,FALSE)))))</f>
        <v/>
      </c>
      <c r="AS67" s="107" t="str">
        <f>IF(AD69="",AP69,AP69+(AD69/1000))</f>
        <v/>
      </c>
      <c r="AT67" s="110" t="str">
        <f>IF(AU69="",AT69,AU69)</f>
        <v/>
      </c>
      <c r="AU67" s="110" t="str">
        <f>IF(D66="","",IF(AND(D130="",D134&lt;&gt;"",AV69=AV137),AT135,IF(AND(D130="",D134="",D138&lt;&gt;"",AV133=AV141),AT139,IF(AND(D130="",D134="",D138="",D142&lt;&gt;"",AV137=AV145),AT143,IF(AND(D130="",D134="",D138="",D142="",D146&lt;&gt;"",AV141=AV149),AT147,IF(AND(D130="",D134="",D138="",D142="",D146="",D150&lt;&gt;"",AV145=AV153),AT151,IF(AND(D130="",D134="",D138="",D142="",D146="",D150="",D154&lt;&gt;"",AV149=AV157),AT155,"")))))))</f>
        <v/>
      </c>
      <c r="AV67" s="109" t="str">
        <f>IF(L66="発電機",IF(ISNA(VLOOKUP(L68,ＡＣＧ,3,FALSE)),0,VLOOKUP(L68,ＡＣＧ,3,FALSE)*BA69/50),"")</f>
        <v/>
      </c>
      <c r="AW67" s="111" t="str">
        <f>IF(AT67="","",(AT67-AP66*(AT66^2+AT67^2))/((AT66*AP66)^2+(AP66*AT67-1)^2))</f>
        <v/>
      </c>
      <c r="AX67" s="112"/>
      <c r="AY67" s="113">
        <f>IF(N(AY69)=10^30,10^30,IF(N(AY133)=10^30,(N(AY69)*(N(AY132)^2+N(AY133)^2)+N(AY133)*(N(AY68)^2+N(AY69)^2))/((N(AY68)+N(AY132))^2+(N(AY69)+N(AY133))^2),(N(AY69)*(N(AY130)^2+N(AY131)^2)+N(AY131)*(N(AY68)^2+N(AY69)^2))/((N(AY68)+N(AY130))^2+(N(AY69)+N(AY131))^2)))</f>
        <v>1E+30</v>
      </c>
      <c r="AZ67" s="52"/>
      <c r="BA67" s="114">
        <f>IF(AND(H66="",SUM(S66:S69)&lt;&gt;0),BA63,H66)</f>
        <v>0</v>
      </c>
      <c r="BB67" s="115">
        <f>IF(AND(BA66=3,S67&lt;&gt;""),1,0)</f>
        <v>0</v>
      </c>
      <c r="BC67" s="52"/>
      <c r="BD67" s="52"/>
      <c r="BH67" s="162"/>
      <c r="BI67" s="162"/>
      <c r="BJ67" s="4"/>
      <c r="BK67" s="4"/>
    </row>
    <row r="68" spans="1:63" ht="15" customHeight="1" x14ac:dyDescent="0.15">
      <c r="A68" s="159"/>
      <c r="B68" s="159"/>
      <c r="C68" s="245"/>
      <c r="D68" s="432"/>
      <c r="E68" s="448"/>
      <c r="F68" s="438"/>
      <c r="G68" s="438"/>
      <c r="H68" s="438"/>
      <c r="I68" s="438"/>
      <c r="J68" s="438"/>
      <c r="K68" s="439"/>
      <c r="L68" s="440"/>
      <c r="M68" s="441"/>
      <c r="N68" s="437"/>
      <c r="O68" s="171"/>
      <c r="P68" s="196"/>
      <c r="Q68" s="177"/>
      <c r="R68" s="173"/>
      <c r="S68" s="174" t="str">
        <f t="shared" si="2"/>
        <v/>
      </c>
      <c r="T68" s="175"/>
      <c r="U68" s="178" t="str">
        <f>IF(OR(BA68="",S68=""),"",S68*1000*T68/(SQRT(BA66)*BA68))</f>
        <v/>
      </c>
      <c r="V68" s="179" t="str">
        <f>IF(AND(N(U66)=0,N(U67)=0,N(U68)=0,N(U69)=0),"",V66*(P66*R66*T66+P67*R67*T67+P68*R68*T68+P69*R69*T69)/(P66*T66+P67*T67+P68*T68+P69*T69))</f>
        <v/>
      </c>
      <c r="W68" s="209" t="str">
        <f>IF(AND(N(AP68)=0,N(AP69)=0,N(AP67)=0),"",IF(AP69&gt;=0,COS(ATAN(AP69/AP68)),-COS(ATAN(AP69/AP68))))</f>
        <v/>
      </c>
      <c r="X68" s="180"/>
      <c r="Y68" s="181"/>
      <c r="Z68" s="182"/>
      <c r="AA68" s="183"/>
      <c r="AB68" s="184"/>
      <c r="AC68" s="181"/>
      <c r="AD68" s="182"/>
      <c r="AE68" s="185"/>
      <c r="AF68" s="136" t="str">
        <f>IF(OR(AF66="",AG62&lt;&gt;""),"",BA68/SQRT(AW68^2+AW69^2))</f>
        <v/>
      </c>
      <c r="AG68" s="205" t="str">
        <f>IF(AG66="","",100*((BA68/AQ67)-AG66)/(BA68/AQ67))</f>
        <v/>
      </c>
      <c r="AH68" s="206"/>
      <c r="AI68" s="208"/>
      <c r="AJ68" s="211"/>
      <c r="AK68" s="213"/>
      <c r="AL68" s="137"/>
      <c r="AM68" s="59"/>
      <c r="AN68" s="138" t="b">
        <f>IF(BA66="","",IF(AND(BA66=3,F68=50,L66="油入自冷"),VLOOKUP(L68,変３,2,FALSE),IF(AND(BA66=3,F68=50,L66="モ－ルド絶縁"),VLOOKUP(L68,変３,7,FALSE),IF(AND(BA66=3,F68=60,L66="油入自冷"),VLOOKUP(L68,変３,12,FALSE),IF(AND(BA66=3,F68=60,L66="モ－ルド絶縁"),VLOOKUP(L68,変３,17,FALSE),FALSE)))))</f>
        <v>0</v>
      </c>
      <c r="AO68" s="109" t="str">
        <f>IF(AND(L62="",N(AY66)&lt;10^29),AY66,"")</f>
        <v/>
      </c>
      <c r="AP68" s="139" t="str">
        <f>IF(V66="","",IF(AND(N(V68)=0,N(AP67)=0),"",AQ68/((AQ68*AP67)^2+(AP67*AQ69-1)^2)))</f>
        <v/>
      </c>
      <c r="AQ68" s="107">
        <f>IF(N(V68)=0,10^30,V68)</f>
        <v>1E+30</v>
      </c>
      <c r="AR68" s="109" t="str">
        <f>IF(AB66="","",IF(AB66="600V IV",VLOOKUP(AB68,ＩＶ,2,FALSE),IF(AB66="600V CV-T",VLOOKUP(AB68,ＣＶＴ,2,FALSE),IF(OR(AB66="600V CV-1C",AB66="600V CV-2C",AB66="600V CV-3C",AB66="600V CV-4C"),VLOOKUP(AB68,ＣＶ２３Ｃ,2,FALSE),VLOOKUP(AB68,ＣＵＳＥＲ,2,FALSE)))))</f>
        <v/>
      </c>
      <c r="AS68" s="107" t="str">
        <f>IF(OR(AND(AS130="",AS131=""),AND(D66="",D130&lt;&gt;"")),AS66,(AS66*(AT130^2+AT131^2)+AT130*(AS66^2+AS67^2))/((AS66+AT130)^2+(AS67+AT131)^2))</f>
        <v/>
      </c>
      <c r="AT68" s="110" t="str">
        <f>IF(X69="",AS68,N(AS68)+(X69/1000))</f>
        <v/>
      </c>
      <c r="AU68" s="110" t="str">
        <f>IF(AU66="","",(AT68*(AU66^2+AU67^2)+AU66*(AT68^2+AT69^2))/((AT68+AU66)^2+(AT69+AU67)^2))</f>
        <v/>
      </c>
      <c r="AV68" s="110">
        <f>IF(BA68=0,1,0)</f>
        <v>1</v>
      </c>
      <c r="AW68" s="111" t="str">
        <f>IF(AO68="","",AW66+AO68)</f>
        <v/>
      </c>
      <c r="AX68" s="112" t="e">
        <f>IF(AND(AX64="",AW68&lt;&gt;""),BA68*SQRT(AW66^2+AW67^2)/SQRT(AW68^2+AW69^2),IF(BA68&lt;&gt;0,AX64,""))</f>
        <v>#REF!</v>
      </c>
      <c r="AY68" s="140">
        <f>IF(L68="",10^30,SQRT(BA66)*(BA68^2)*(N(AN66)+N(AN68)+N(AO66)+N(AV66))/(100000*L68*M66))</f>
        <v>1E+30</v>
      </c>
      <c r="AZ68" s="141"/>
      <c r="BA68" s="114">
        <f>IF(AND(J66="",SUM(S66:S69)&lt;&gt;0),BA64,J66)</f>
        <v>0</v>
      </c>
      <c r="BB68" s="115">
        <f>IF(AND(BA66=3,S68&lt;&gt;""),1,0)</f>
        <v>0</v>
      </c>
      <c r="BC68" s="52"/>
      <c r="BD68" s="52"/>
      <c r="BH68" s="162"/>
      <c r="BI68" s="162"/>
      <c r="BJ68" s="4"/>
      <c r="BK68" s="4"/>
    </row>
    <row r="69" spans="1:63" ht="15" customHeight="1" x14ac:dyDescent="0.15">
      <c r="A69" s="159"/>
      <c r="B69" s="159"/>
      <c r="C69" s="245"/>
      <c r="D69" s="442"/>
      <c r="E69" s="449"/>
      <c r="F69" s="444"/>
      <c r="G69" s="444"/>
      <c r="H69" s="444"/>
      <c r="I69" s="444"/>
      <c r="J69" s="444"/>
      <c r="K69" s="445"/>
      <c r="L69" s="238" t="str">
        <f>IF(M66="","",L68*1000*M66/(SQRT(BA66)*BA68))</f>
        <v/>
      </c>
      <c r="M69" s="239"/>
      <c r="N69" s="446"/>
      <c r="O69" s="186"/>
      <c r="P69" s="197"/>
      <c r="Q69" s="187"/>
      <c r="R69" s="188"/>
      <c r="S69" s="189" t="str">
        <f t="shared" si="2"/>
        <v/>
      </c>
      <c r="T69" s="190"/>
      <c r="U69" s="191" t="str">
        <f>IF(OR(BA68="",S69=""),"",S69*1000*T69/(SQRT(BA66)*BA68))</f>
        <v/>
      </c>
      <c r="V69" s="192" t="str">
        <f>IF(AND(N(U66)=0,N(U67)=0,N(U68)=0,N(U69)=0),"",IF(V66&gt;=0,SQRT(ABS(V66^2-V68^2)),-SQRT(V66^2-V68^2)))</f>
        <v/>
      </c>
      <c r="W69" s="210"/>
      <c r="X69" s="215" t="str">
        <f>IF(Y68="","",AQ66*Z68*AR66*((1+0.00393*(F69-20))/1.2751)/Y68)</f>
        <v/>
      </c>
      <c r="Y69" s="216"/>
      <c r="Z69" s="217" t="str">
        <f>IF(Y68="","",(BA69/50)*AQ66*Z68*AR67/Y68)</f>
        <v/>
      </c>
      <c r="AA69" s="218"/>
      <c r="AB69" s="219" t="str">
        <f>IF(AC68="","",AQ66*AD68*AR68*((1+0.00393*(F69-20))/1.2751)/AC68)</f>
        <v/>
      </c>
      <c r="AC69" s="216"/>
      <c r="AD69" s="217" t="str">
        <f>IF(AC68="","",(BA69/50)*AQ66*AD68*AR69/AC68)</f>
        <v/>
      </c>
      <c r="AE69" s="242"/>
      <c r="AF69" s="150" t="str">
        <f>IF(AND(AX66&lt;&gt;"",D66=""),AX66,"")</f>
        <v/>
      </c>
      <c r="AG69" s="243" t="str">
        <f>IF(AP68="","",AP68)</f>
        <v/>
      </c>
      <c r="AH69" s="244"/>
      <c r="AI69" s="151" t="str">
        <f>IF(AP69="","",AP69)</f>
        <v/>
      </c>
      <c r="AJ69" s="212"/>
      <c r="AK69" s="214"/>
      <c r="AL69" s="152"/>
      <c r="AM69" s="59"/>
      <c r="AN69" s="153" t="b">
        <f>IF(BA66="","",IF(AND(BA66=3,F68=50,L66="油入自冷"),VLOOKUP(L68,変３,3,FALSE),IF(AND(BA66=3,F68=50,L66="モ－ルド絶縁"),VLOOKUP(L68,変３,8,FALSE),IF(AND(BA66=3,F68=60,L66="油入自冷"),VLOOKUP(L68,変３,13,FALSE),IF(AND(BA66=3,F68=60,L66="モ－ルド絶縁"),VLOOKUP(L68,変３,18,FALSE),FALSE)))))</f>
        <v>0</v>
      </c>
      <c r="AO69" s="153" t="str">
        <f>IF(AND(L62="",N(AY67)&lt;10^29),AY67,"")</f>
        <v/>
      </c>
      <c r="AP69" s="154" t="str">
        <f>IF(V66="","",IF(AND(N(V69)=0,N(AP67)=0),0,(AQ69-AP67*(AQ68^2+AQ69^2))/((AQ68*AP67)^2+(AP67*AQ69-1)^2)))</f>
        <v/>
      </c>
      <c r="AQ69" s="155">
        <f>IF(N(V69)=0,10^30,V69)</f>
        <v>1E+30</v>
      </c>
      <c r="AR69" s="153" t="str">
        <f>IF(AB66="","",IF(AB66="600V IV",VLOOKUP(AB68,ＩＶ,3,FALSE),IF(AB66="600V CV-T",VLOOKUP(AB68,ＣＶＴ,3,FALSE),IF(OR(AB66="600V CV-1C",AB66="600V CV-2C",AB66="600V CV-3C",AB66="600V CV-4C"),VLOOKUP(AB68,ＣＶ２３Ｃ,3,FALSE),VLOOKUP(AB68,ＣＵＳＥＲ,3,FALSE)))))</f>
        <v/>
      </c>
      <c r="AS69" s="155" t="str">
        <f>IF(OR(AND(AS130="",AS131=""),AND(D66="",D130&lt;&gt;"")),AS67,(AS67*(AT130^2+AT131^2)+AT131*(AS66^2+AS67^2))/((AS66+AT130)^2+(AS67+AT131)^2))</f>
        <v/>
      </c>
      <c r="AT69" s="156" t="str">
        <f>IF(Z69="",AS69,N(AS69)+(Z69/1000))</f>
        <v/>
      </c>
      <c r="AU69" s="156" t="str">
        <f>IF(AU67="","",(AT69*(AU66^2+AU67^2)+AU67*(AT68^2+AT69^2))/((AT68+AU66)^2+(AT69+AU67)^2))</f>
        <v/>
      </c>
      <c r="AV69" s="156" t="e">
        <f>AV65+AV68</f>
        <v>#REF!</v>
      </c>
      <c r="AW69" s="155" t="str">
        <f>IF(AO69="","",AW67+AO69)</f>
        <v/>
      </c>
      <c r="AX69" s="157"/>
      <c r="AY69" s="140">
        <f>IF(L68="",10^30,SQRT(BA66)*(BA68^2)*(N(AN67)+N(AN69)+N(AO67)+N(AV67))/(100000*L68*M66))</f>
        <v>1E+30</v>
      </c>
      <c r="AZ69" s="141"/>
      <c r="BA69" s="114">
        <f>IF(AND(F68="",SUM(S66:S69)&lt;&gt;0),BA65,F68)</f>
        <v>0</v>
      </c>
      <c r="BB69" s="115">
        <f>IF(AND(BA66=3,S69&lt;&gt;""),1,0)</f>
        <v>0</v>
      </c>
      <c r="BC69" s="52"/>
      <c r="BD69" s="52"/>
      <c r="BH69" s="162"/>
      <c r="BI69" s="162"/>
      <c r="BJ69" s="4"/>
      <c r="BK69" s="4"/>
    </row>
    <row r="70" spans="1:63" ht="15" customHeight="1" x14ac:dyDescent="0.15">
      <c r="A70" s="159"/>
      <c r="B70" s="159"/>
      <c r="C70" s="245" t="str">
        <f>IF(BH70=1,"●","・")</f>
        <v>・</v>
      </c>
      <c r="D70" s="425"/>
      <c r="E70" s="447"/>
      <c r="F70" s="427"/>
      <c r="G70" s="240" t="str">
        <f>IF(F70="","","φ")</f>
        <v/>
      </c>
      <c r="H70" s="428"/>
      <c r="I70" s="240" t="str">
        <f>IF(H70="","","W")</f>
        <v/>
      </c>
      <c r="J70" s="428"/>
      <c r="K70" s="246" t="str">
        <f>IF(J70="","","V")</f>
        <v/>
      </c>
      <c r="L70" s="429"/>
      <c r="M70" s="430"/>
      <c r="N70" s="431"/>
      <c r="O70" s="164"/>
      <c r="P70" s="194"/>
      <c r="Q70" s="165"/>
      <c r="R70" s="166"/>
      <c r="S70" s="167" t="str">
        <f>IF(R70="","",IF(Q70="",P70/R70,P70/(Q70*R70)))</f>
        <v/>
      </c>
      <c r="T70" s="168"/>
      <c r="U70" s="169" t="str">
        <f>IF(OR(BA72="",S70=""),"",S70*1000*T70/(SQRT(BA70)*BA72))</f>
        <v/>
      </c>
      <c r="V70" s="236" t="str">
        <f>IF(AND(N(U70)=0,N(U71)=0,N(U72)=0,N(U73)=0),"",BA72/(SUM(U70:U73)))</f>
        <v/>
      </c>
      <c r="W70" s="220"/>
      <c r="X70" s="222"/>
      <c r="Y70" s="223"/>
      <c r="Z70" s="224"/>
      <c r="AA70" s="228"/>
      <c r="AB70" s="230"/>
      <c r="AC70" s="223"/>
      <c r="AD70" s="224"/>
      <c r="AE70" s="232"/>
      <c r="AF70" s="104" t="str">
        <f>IF(OR(AND(AF66="",N(BA68)=0,BA72&lt;&gt;0),D70&lt;&gt;""),AX72/AQ71,"")</f>
        <v/>
      </c>
      <c r="AG70" s="234" t="str">
        <f>IF(BA72=0,"",IF(AD72="",AX70,IF(AND(D70&lt;&gt;"",AU70=""),AX72*SQRT(AP72^2+AP73^2)/SQRT(AS70^2+AS71^2)/AQ71,AX70*SQRT(AP72^2+AP73^2)/SQRT(AS70^2+AS71^2))))</f>
        <v/>
      </c>
      <c r="AH70" s="235"/>
      <c r="AI70" s="105" t="str">
        <f>IF(AG70="","",IF(N(U70)&lt;0,-AX70*AQ71/SQRT(AS70^2+AS71^2),AX70*AQ71/SQRT(AS70^2+AS71^2)))</f>
        <v/>
      </c>
      <c r="AJ70" s="201"/>
      <c r="AK70" s="202"/>
      <c r="AL70" s="106"/>
      <c r="AM70" s="59"/>
      <c r="AN70" s="107" t="b">
        <f>IF(BA70="","",IF(AND(BA70=1,F72=50,L70="油入自冷"),VLOOKUP(L72,変１,2,FALSE),IF(AND(BA70=1,F72=50,L70="モ－ルド絶縁"),VLOOKUP(L72,変１,7,FALSE),IF(AND(BA70=1,F72=60,L70="油入自冷"),VLOOKUP(L72,変１,12,FALSE),IF(AND(BA70=1,F72=60,L70="モ－ルド絶縁"),VLOOKUP(L72,変１,17,FALSE),FALSE)))))</f>
        <v>0</v>
      </c>
      <c r="AO70" s="107">
        <f>IF(ISNA(VLOOKUP(L72,変ＵＳＥＲ,2,FALSE)),0,VLOOKUP(L72,変ＵＳＥＲ,2,FALSE))</f>
        <v>0</v>
      </c>
      <c r="AP70" s="108">
        <f>IF(N70="",0,N70*1000/BA72^2/SQRT(BA70))</f>
        <v>0</v>
      </c>
      <c r="AQ70" s="107" t="b">
        <f>IF(BA70=1,2,IF(BA70=3,SQRT(3),FALSE))</f>
        <v>0</v>
      </c>
      <c r="AR70" s="109" t="str">
        <f>IF(X70="","",IF(X70="600V IV",VLOOKUP(X72,ＩＶ,2,FALSE),IF(X70="600V CV-T",VLOOKUP(X72,ＣＶＴ,2,FALSE),IF(OR(X70="600V CV-1C",X70="600V CV-2C",X70="600V CV-3C",X70="600V CV-4C"),VLOOKUP(X72,ＣＶ２３Ｃ,2,FALSE),VLOOKUP(X72,ＣＵＳＥＲ,2,FALSE)))))</f>
        <v/>
      </c>
      <c r="AS70" s="107" t="str">
        <f>IF(AB73="",AP72,AP72+(AB73/1000))</f>
        <v/>
      </c>
      <c r="AT70" s="110" t="str">
        <f>IF(AU72="",AT72,AU72)</f>
        <v/>
      </c>
      <c r="AU70" s="110" t="str">
        <f>IF(D70="","",IF(AND(D134="",D138&lt;&gt;"",AV73=AV141),AT138,IF(AND(D134="",D138="",D142&lt;&gt;"",AV137=AV145),AT142,IF(AND(D134="",D138="",D142="",D146&lt;&gt;"",AV141=AV149),AT146,IF(AND(D134="",D138="",D142="",D146="",D150&lt;&gt;"",AV145=AV153),AT150,IF(AND(D134="",D138="",D142="",D146="",D150="",D154&lt;&gt;"",AV149=AV157),AT154,IF(AND(D134="",D138="",D142="",D146="",D150="",D154="",D158&lt;&gt;"",AV153=AV161),AT158,"")))))))</f>
        <v/>
      </c>
      <c r="AV70" s="110" t="str">
        <f>IF(L70="発電機",IF(ISNA(VLOOKUP(L72,ＡＣＧ,2,FALSE)),0,VLOOKUP(L72,ＡＣＧ,2,FALSE)),"")</f>
        <v/>
      </c>
      <c r="AW70" s="111" t="str">
        <f>IF(AT70="","",AT70/((AT70*AP70)^2+(AT71*AP70-1)^2))</f>
        <v/>
      </c>
      <c r="AX70" s="112" t="str">
        <f>IF(BA72=0,"",IF(OR(AX66="",AF70&lt;&gt;""),AF70*SQRT(AS72^2+AS73^2)/SQRT(AT72^2+AT73^2),AX66*SQRT(AS72^2+AS73^2)/SQRT(AT72^2+AT73^2)))</f>
        <v/>
      </c>
      <c r="AY70" s="113">
        <f>IF(N(AY72)=10^30,10^30,IF(N(AY136)=10^30,(N(AY72)*(N(AY136)^2+N(AY137)^2)+N(AY136)*(N(AY72)^2+N(AY73)^2))/((N(AY72)+N(AY136))^2+(N(AY73)+N(AY137))^2),(N(AY72)*(N(AY134)^2+N(AY135)^2)+N(AY134)*(N(AY72)^2+N(AY73)^2))/((N(AY72)+N(AY134))^2+(N(AY73)+N(AY135))^2)))</f>
        <v>1E+30</v>
      </c>
      <c r="AZ70" s="52"/>
      <c r="BA70" s="114">
        <f>IF(AND(F70="",SUM(S70:S73)&lt;&gt;0),BA66,F70)</f>
        <v>0</v>
      </c>
      <c r="BB70" s="115">
        <f>IF(AND(BA70=3,S70&lt;&gt;""),1,0)</f>
        <v>0</v>
      </c>
      <c r="BC70" s="52"/>
      <c r="BD70" s="52"/>
      <c r="BH70" s="162">
        <f>IF(OR(E70="",F73="",AND(OR(P70="",Q70="",R70="",T70=""),OR(P71="",Q71="",R71="",T71=""),OR(P72="",Q72="",R72="",T72=""),OR(P73="",Q73="",R73="",T73="")),AND(OR(X70="",X72="",Y72="",Z72=""),OR(AB70="",AB72="",AC72="",AD72=""))),0,1)</f>
        <v>0</v>
      </c>
      <c r="BI70" s="162">
        <f>BH70+BI66</f>
        <v>4</v>
      </c>
      <c r="BJ70" s="4"/>
      <c r="BK70" s="4"/>
    </row>
    <row r="71" spans="1:63" ht="15" customHeight="1" x14ac:dyDescent="0.15">
      <c r="A71" s="159"/>
      <c r="B71" s="159"/>
      <c r="C71" s="245"/>
      <c r="D71" s="432"/>
      <c r="E71" s="448"/>
      <c r="F71" s="434"/>
      <c r="G71" s="241"/>
      <c r="H71" s="435"/>
      <c r="I71" s="241"/>
      <c r="J71" s="435"/>
      <c r="K71" s="247"/>
      <c r="L71" s="436"/>
      <c r="M71" s="170" t="str">
        <f>IF(L70="発電機",SQRT(AV70^2+AV71^2),IF(L72="","",IF(OR(L70="油入自冷",L70="モ－ルド絶縁"),IF(BA70=1,SQRT(AN70^2+AN71^2),IF(BA70=3,SQRT(AN72^2+AN73^2))),SQRT(AO70^2+AO71^2))))</f>
        <v/>
      </c>
      <c r="N71" s="437"/>
      <c r="O71" s="171"/>
      <c r="P71" s="195"/>
      <c r="Q71" s="172"/>
      <c r="R71" s="173"/>
      <c r="S71" s="174" t="str">
        <f t="shared" si="2"/>
        <v/>
      </c>
      <c r="T71" s="175"/>
      <c r="U71" s="176" t="str">
        <f>IF(OR(BA72="",S71=""),"",S71*1000*T71/(SQRT(BA70)*BA72))</f>
        <v/>
      </c>
      <c r="V71" s="237"/>
      <c r="W71" s="221"/>
      <c r="X71" s="225"/>
      <c r="Y71" s="226"/>
      <c r="Z71" s="227"/>
      <c r="AA71" s="229"/>
      <c r="AB71" s="231"/>
      <c r="AC71" s="226"/>
      <c r="AD71" s="227"/>
      <c r="AE71" s="233"/>
      <c r="AF71" s="124" t="str">
        <f>IF(OR(AF70="",AG66&lt;&gt;""),"",AF70*AQ71/SQRT(AT70^2+AT71^2))</f>
        <v/>
      </c>
      <c r="AG71" s="205" t="str">
        <f>IF(AG70="","",100*AG70*AQ71/BA72)</f>
        <v/>
      </c>
      <c r="AH71" s="206"/>
      <c r="AI71" s="207" t="str">
        <f>IF(BA72=0,"",IF(AI66="",AX72/SQRT(AT70^2+AT71^2),IF(AI74="","",IF(AT70&lt;0,-AX70*AQ67/SQRT(AT70^2+AT71^2),AX70*AQ67/SQRT(AT70^2+AT71^2)))))</f>
        <v/>
      </c>
      <c r="AJ71" s="203"/>
      <c r="AK71" s="204"/>
      <c r="AL71" s="125"/>
      <c r="AM71" s="59"/>
      <c r="AN71" s="107" t="b">
        <f>IF(BA70="","",IF(AND(BA70=1,F72=50,L70="油入自冷"),VLOOKUP(L72,変１,3,FALSE),IF(AND(BA70=1,F72=50,L70="モ－ルド絶縁"),VLOOKUP(L72,変１,8,FALSE),IF(AND(BA70=1,F72=60,L70="油入自冷"),VLOOKUP(L72,変１,13,FALSE),IF(AND(BA70=1,F72=60,L70="モ－ルド絶縁"),VLOOKUP(L72,変１,18,FALSE),FALSE)))))</f>
        <v>0</v>
      </c>
      <c r="AO71" s="107">
        <f>IF(ISNA(VLOOKUP(L72,変ＵＳＥＲ,3,FALSE)),0,VLOOKUP(L72,変ＵＳＥＲ,3,FALSE)*BA73/50)</f>
        <v>0</v>
      </c>
      <c r="AP71" s="108">
        <f>IF(W70="",0,W70*1000/BA72^2/SQRT(BA70))</f>
        <v>0</v>
      </c>
      <c r="AQ71" s="107">
        <f>IF(AND(BA70=1,BA71=2),1,IF(AND(BA70=3,BA71=3),1,IF(AND(BA70=1,BA71=3),2,IF(AND(BA70=3,BA71=4)*OR(BB70=1,BB71=1,BB72=1,BB73=1),1,SQRT(3)))))</f>
        <v>1.7320508075688772</v>
      </c>
      <c r="AR71" s="109" t="str">
        <f>IF(X70="","",IF(X70="600V IV",VLOOKUP(X72,ＩＶ,3,FALSE),IF(X70="600V CV-T",VLOOKUP(X72,ＣＶＴ,3,FALSE),IF(OR(X70="600V CV-1C",X70="600V CV-2C",X70="600V CV-3C",X70="600V CV-4C"),VLOOKUP(X72,ＣＶ２３Ｃ,3,FALSE),VLOOKUP(X72,ＣＵＳＥＲ,3,FALSE)))))</f>
        <v/>
      </c>
      <c r="AS71" s="107" t="str">
        <f>IF(AD73="",AP73,AP73+(AD73/1000))</f>
        <v/>
      </c>
      <c r="AT71" s="110" t="str">
        <f>IF(AU73="",AT73,AU73)</f>
        <v/>
      </c>
      <c r="AU71" s="110" t="str">
        <f>IF(D70="","",IF(AND(D134="",D138&lt;&gt;"",AV73=AV141),AT139,IF(AND(D134="",D138="",D142&lt;&gt;"",AV137=AV145),AT143,IF(AND(D134="",D138="",D142="",D146&lt;&gt;"",AV141=AV149),AT147,IF(AND(D134="",D138="",D142="",D146="",D150&lt;&gt;"",AV145=AV153),AT151,IF(AND(D134="",D138="",D142="",D146="",D150="",D154&lt;&gt;"",AV149=AV157),AT155,IF(AND(D134="",D138="",D142="",D146="",D150="",D154="",D158&lt;&gt;"",AV153=AV161),AT159,"")))))))</f>
        <v/>
      </c>
      <c r="AV71" s="109" t="str">
        <f>IF(L70="発電機",IF(ISNA(VLOOKUP(L72,ＡＣＧ,3,FALSE)),0,VLOOKUP(L72,ＡＣＧ,3,FALSE)*BA73/50),"")</f>
        <v/>
      </c>
      <c r="AW71" s="111" t="str">
        <f>IF(AT71="","",(AT71-AP70*(AT70^2+AT71^2))/((AT70*AP70)^2+(AP70*AT71-1)^2))</f>
        <v/>
      </c>
      <c r="AX71" s="112"/>
      <c r="AY71" s="113">
        <f>IF(N(AY73)=10^30,10^30,IF(N(AY137)=10^30,(N(AY73)*(N(AY136)^2+N(AY137)^2)+N(AY137)*(N(AY72)^2+N(AY73)^2))/((N(AY72)+N(AY136))^2+(N(AY73)+N(AY137))^2),(N(AY73)*(N(AY134)^2+N(AY135)^2)+N(AY135)*(N(AY72)^2+N(AY73)^2))/((N(AY72)+N(AY134))^2+(N(AY73)+N(AY135))^2)))</f>
        <v>1E+30</v>
      </c>
      <c r="AZ71" s="52"/>
      <c r="BA71" s="114">
        <f>IF(AND(H70="",SUM(S70:S73)&lt;&gt;0),BA67,H70)</f>
        <v>0</v>
      </c>
      <c r="BB71" s="115">
        <f>IF(AND(BA70=3,S71&lt;&gt;""),1,0)</f>
        <v>0</v>
      </c>
      <c r="BC71" s="52"/>
      <c r="BD71" s="52"/>
      <c r="BH71" s="162"/>
      <c r="BI71" s="162"/>
      <c r="BJ71" s="4"/>
      <c r="BK71" s="4"/>
    </row>
    <row r="72" spans="1:63" ht="15" customHeight="1" x14ac:dyDescent="0.15">
      <c r="A72" s="159"/>
      <c r="B72" s="159"/>
      <c r="C72" s="245"/>
      <c r="D72" s="432"/>
      <c r="E72" s="448"/>
      <c r="F72" s="438"/>
      <c r="G72" s="438"/>
      <c r="H72" s="438"/>
      <c r="I72" s="438"/>
      <c r="J72" s="438"/>
      <c r="K72" s="439"/>
      <c r="L72" s="440"/>
      <c r="M72" s="441"/>
      <c r="N72" s="437"/>
      <c r="O72" s="171"/>
      <c r="P72" s="196"/>
      <c r="Q72" s="177"/>
      <c r="R72" s="173"/>
      <c r="S72" s="174" t="str">
        <f t="shared" si="2"/>
        <v/>
      </c>
      <c r="T72" s="175"/>
      <c r="U72" s="178" t="str">
        <f>IF(OR(BA72="",S72=""),"",S72*1000*T72/(SQRT(BA70)*BA72))</f>
        <v/>
      </c>
      <c r="V72" s="179" t="str">
        <f>IF(AND(N(U70)=0,N(U71)=0,N(U72)=0,N(U73)=0),"",V70*(P70*R70*T70+P71*R71*T71+P72*R72*T72+P73*R73*T73)/(P70*T70+P71*T71+P72*T72+P73*T73))</f>
        <v/>
      </c>
      <c r="W72" s="209" t="str">
        <f>IF(AND(N(AP72)=0,N(AP73)=0,N(AP71)=0),"",IF(AP73&gt;=0,COS(ATAN(AP73/AP72)),-COS(ATAN(AP73/AP72))))</f>
        <v/>
      </c>
      <c r="X72" s="180"/>
      <c r="Y72" s="181"/>
      <c r="Z72" s="182"/>
      <c r="AA72" s="183"/>
      <c r="AB72" s="184"/>
      <c r="AC72" s="181"/>
      <c r="AD72" s="182"/>
      <c r="AE72" s="185"/>
      <c r="AF72" s="136" t="str">
        <f>IF(OR(AF70="",AG66&lt;&gt;""),"",BA72/SQRT(AW72^2+AW73^2))</f>
        <v/>
      </c>
      <c r="AG72" s="205" t="str">
        <f>IF(AG70="","",100*((BA72/AQ71)-AG70)/(BA72/AQ71))</f>
        <v/>
      </c>
      <c r="AH72" s="206"/>
      <c r="AI72" s="208"/>
      <c r="AJ72" s="211"/>
      <c r="AK72" s="213"/>
      <c r="AL72" s="137"/>
      <c r="AM72" s="59"/>
      <c r="AN72" s="138" t="b">
        <f>IF(BA70="","",IF(AND(BA70=3,F72=50,L70="油入自冷"),VLOOKUP(L72,変３,2,FALSE),IF(AND(BA70=3,F72=50,L70="モ－ルド絶縁"),VLOOKUP(L72,変３,7,FALSE),IF(AND(BA70=3,F72=60,L70="油入自冷"),VLOOKUP(L72,変３,12,FALSE),IF(AND(BA70=3,F72=60,L70="モ－ルド絶縁"),VLOOKUP(L72,変３,17,FALSE),FALSE)))))</f>
        <v>0</v>
      </c>
      <c r="AO72" s="109" t="str">
        <f>IF(AND(L66="",N(AY70)&lt;10^29),AY70,"")</f>
        <v/>
      </c>
      <c r="AP72" s="139" t="str">
        <f>IF(V70="","",IF(AND(N(V72)=0,N(AP71)=0),"",AQ72/((AQ72*AP71)^2+(AP71*AQ73-1)^2)))</f>
        <v/>
      </c>
      <c r="AQ72" s="107">
        <f>IF(N(V72)=0,10^30,V72)</f>
        <v>1E+30</v>
      </c>
      <c r="AR72" s="109" t="str">
        <f>IF(AB70="","",IF(AB70="600V IV",VLOOKUP(AB72,ＩＶ,2,FALSE),IF(AB70="600V CV-T",VLOOKUP(AB72,ＣＶＴ,2,FALSE),IF(OR(AB70="600V CV-1C",AB70="600V CV-2C",AB70="600V CV-3C",AB70="600V CV-4C"),VLOOKUP(AB72,ＣＶ２３Ｃ,2,FALSE),VLOOKUP(AB72,ＣＵＳＥＲ,2,FALSE)))))</f>
        <v/>
      </c>
      <c r="AS72" s="107" t="str">
        <f>IF(OR(AND(AS134="",AS135=""),AND(D70="",D134&lt;&gt;"")),AS70,(AS70*(AT134^2+AT135^2)+AT134*(AS70^2+AS71^2))/((AS70+AT134)^2+(AS71+AT135)^2))</f>
        <v/>
      </c>
      <c r="AT72" s="110" t="str">
        <f>IF(X73="",AS72,N(AS72)+(X73/1000))</f>
        <v/>
      </c>
      <c r="AU72" s="110" t="str">
        <f>IF(AU70="","",(AT72*(AU70^2+AU71^2)+AU70*(AT72^2+AT73^2))/((AT72+AU70)^2+(AT73+AU71)^2))</f>
        <v/>
      </c>
      <c r="AV72" s="110">
        <f>IF(BA72=0,1,0)</f>
        <v>1</v>
      </c>
      <c r="AW72" s="111" t="str">
        <f>IF(AO72="","",AW70+AO72)</f>
        <v/>
      </c>
      <c r="AX72" s="112" t="e">
        <f>IF(AND(AX68="",AW72&lt;&gt;""),BA72*SQRT(AW70^2+AW71^2)/SQRT(AW72^2+AW73^2),IF(BA72&lt;&gt;0,AX68,""))</f>
        <v>#REF!</v>
      </c>
      <c r="AY72" s="140">
        <f>IF(L72="",10^30,SQRT(BA70)*(BA72^2)*(N(AN70)+N(AN72)+N(AO70)+N(AV70))/(100000*L72*M70))</f>
        <v>1E+30</v>
      </c>
      <c r="AZ72" s="141"/>
      <c r="BA72" s="114">
        <f>IF(AND(J70="",SUM(S70:S73)&lt;&gt;0),BA68,J70)</f>
        <v>0</v>
      </c>
      <c r="BB72" s="115">
        <f>IF(AND(BA70=3,S72&lt;&gt;""),1,0)</f>
        <v>0</v>
      </c>
      <c r="BC72" s="52"/>
      <c r="BD72" s="52"/>
      <c r="BH72" s="162"/>
      <c r="BI72" s="162"/>
      <c r="BJ72" s="4"/>
      <c r="BK72" s="4"/>
    </row>
    <row r="73" spans="1:63" ht="15" customHeight="1" x14ac:dyDescent="0.15">
      <c r="A73" s="159"/>
      <c r="B73" s="159"/>
      <c r="C73" s="245"/>
      <c r="D73" s="442"/>
      <c r="E73" s="449"/>
      <c r="F73" s="444"/>
      <c r="G73" s="444"/>
      <c r="H73" s="444"/>
      <c r="I73" s="444"/>
      <c r="J73" s="444"/>
      <c r="K73" s="445"/>
      <c r="L73" s="238" t="str">
        <f>IF(M70="","",L72*1000*M70/(SQRT(BA70)*BA72))</f>
        <v/>
      </c>
      <c r="M73" s="239"/>
      <c r="N73" s="446"/>
      <c r="O73" s="186"/>
      <c r="P73" s="197"/>
      <c r="Q73" s="187"/>
      <c r="R73" s="188"/>
      <c r="S73" s="189" t="str">
        <f t="shared" si="2"/>
        <v/>
      </c>
      <c r="T73" s="190"/>
      <c r="U73" s="191" t="str">
        <f>IF(OR(BA72="",S73=""),"",S73*1000*T73/(SQRT(BA70)*BA72))</f>
        <v/>
      </c>
      <c r="V73" s="192" t="str">
        <f>IF(AND(N(U70)=0,N(U71)=0,N(U72)=0,N(U73)=0),"",IF(V70&gt;=0,SQRT(ABS(V70^2-V72^2)),-SQRT(V70^2-V72^2)))</f>
        <v/>
      </c>
      <c r="W73" s="210"/>
      <c r="X73" s="215" t="str">
        <f>IF(Y72="","",AQ70*Z72*AR70*((1+0.00393*(F73-20))/1.2751)/Y72)</f>
        <v/>
      </c>
      <c r="Y73" s="216"/>
      <c r="Z73" s="217" t="str">
        <f>IF(Y72="","",(BA73/50)*AQ70*Z72*AR71/Y72)</f>
        <v/>
      </c>
      <c r="AA73" s="218"/>
      <c r="AB73" s="219" t="str">
        <f>IF(AC72="","",AQ70*AD72*AR72*((1+0.00393*(F73-20))/1.2751)/AC72)</f>
        <v/>
      </c>
      <c r="AC73" s="216"/>
      <c r="AD73" s="217" t="str">
        <f>IF(AC72="","",(BA73/50)*AQ70*AD72*AR73/AC72)</f>
        <v/>
      </c>
      <c r="AE73" s="242"/>
      <c r="AF73" s="150" t="str">
        <f>IF(AND(AX70&lt;&gt;"",D70=""),AX70,"")</f>
        <v/>
      </c>
      <c r="AG73" s="243" t="str">
        <f>IF(AP72="","",AP72)</f>
        <v/>
      </c>
      <c r="AH73" s="244"/>
      <c r="AI73" s="151" t="str">
        <f>IF(AP73="","",AP73)</f>
        <v/>
      </c>
      <c r="AJ73" s="212"/>
      <c r="AK73" s="214"/>
      <c r="AL73" s="152"/>
      <c r="AM73" s="59"/>
      <c r="AN73" s="153" t="b">
        <f>IF(BA70="","",IF(AND(BA70=3,F72=50,L70="油入自冷"),VLOOKUP(L72,変３,3,FALSE),IF(AND(BA70=3,F72=50,L70="モ－ルド絶縁"),VLOOKUP(L72,変３,8,FALSE),IF(AND(BA70=3,F72=60,L70="油入自冷"),VLOOKUP(L72,変３,13,FALSE),IF(AND(BA70=3,F72=60,L70="モ－ルド絶縁"),VLOOKUP(L72,変３,18,FALSE),FALSE)))))</f>
        <v>0</v>
      </c>
      <c r="AO73" s="153" t="str">
        <f>IF(AND(L66="",N(AY71)&lt;10^29),AY71,"")</f>
        <v/>
      </c>
      <c r="AP73" s="154" t="str">
        <f>IF(V70="","",IF(AND(N(V73)=0,N(AP71)=0),0,(AQ73-AP71*(AQ72^2+AQ73^2))/((AQ72*AP71)^2+(AP71*AQ73-1)^2)))</f>
        <v/>
      </c>
      <c r="AQ73" s="155">
        <f>IF(N(V73)=0,10^30,V73)</f>
        <v>1E+30</v>
      </c>
      <c r="AR73" s="153" t="str">
        <f>IF(AB70="","",IF(AB70="600V IV",VLOOKUP(AB72,ＩＶ,3,FALSE),IF(AB70="600V CV-T",VLOOKUP(AB72,ＣＶＴ,3,FALSE),IF(OR(AB70="600V CV-1C",AB70="600V CV-2C",AB70="600V CV-3C",AB70="600V CV-4C"),VLOOKUP(AB72,ＣＶ２３Ｃ,3,FALSE),VLOOKUP(AB72,ＣＵＳＥＲ,3,FALSE)))))</f>
        <v/>
      </c>
      <c r="AS73" s="155" t="str">
        <f>IF(OR(AND(AS134="",AS135=""),AND(D70="",D134&lt;&gt;"")),AS71,(AS71*(AT134^2+AT135^2)+AT135*(AS70^2+AS71^2))/((AS70+AT134)^2+(AS71+AT135)^2))</f>
        <v/>
      </c>
      <c r="AT73" s="156" t="str">
        <f>IF(Z73="",AS73,N(AS73)+(Z73/1000))</f>
        <v/>
      </c>
      <c r="AU73" s="156" t="str">
        <f>IF(AU71="","",(AT73*(AU70^2+AU71^2)+AU71*(AT72^2+AT73^2))/((AT72+AU70)^2+(AT73+AU71)^2))</f>
        <v/>
      </c>
      <c r="AV73" s="156" t="e">
        <f>AV69+AV72</f>
        <v>#REF!</v>
      </c>
      <c r="AW73" s="155" t="str">
        <f>IF(AO73="","",AW71+AO73)</f>
        <v/>
      </c>
      <c r="AX73" s="157"/>
      <c r="AY73" s="140">
        <f>IF(L72="",10^30,SQRT(BA70)*(BA72^2)*(N(AN71)+N(AN73)+N(AO71)+N(AV71))/(100000*L72*M70))</f>
        <v>1E+30</v>
      </c>
      <c r="AZ73" s="141"/>
      <c r="BA73" s="114">
        <f>IF(AND(F72="",SUM(S70:S73)&lt;&gt;0),BA69,F72)</f>
        <v>0</v>
      </c>
      <c r="BB73" s="115">
        <f>IF(AND(BA70=3,S73&lt;&gt;""),1,0)</f>
        <v>0</v>
      </c>
      <c r="BC73" s="52"/>
      <c r="BD73" s="52"/>
      <c r="BH73" s="162"/>
      <c r="BI73" s="162"/>
      <c r="BJ73" s="4"/>
      <c r="BK73" s="4"/>
    </row>
    <row r="74" spans="1:63" ht="15" customHeight="1" x14ac:dyDescent="0.15">
      <c r="A74" s="159"/>
      <c r="B74" s="159"/>
      <c r="C74" s="245" t="str">
        <f>IF(BH74=1,"●","・")</f>
        <v>・</v>
      </c>
      <c r="D74" s="425"/>
      <c r="E74" s="447"/>
      <c r="F74" s="427"/>
      <c r="G74" s="240" t="str">
        <f>IF(F74="","","φ")</f>
        <v/>
      </c>
      <c r="H74" s="428"/>
      <c r="I74" s="240" t="str">
        <f>IF(H74="","","W")</f>
        <v/>
      </c>
      <c r="J74" s="428"/>
      <c r="K74" s="246" t="str">
        <f>IF(J74="","","V")</f>
        <v/>
      </c>
      <c r="L74" s="429"/>
      <c r="M74" s="430"/>
      <c r="N74" s="431"/>
      <c r="O74" s="164"/>
      <c r="P74" s="194"/>
      <c r="Q74" s="165"/>
      <c r="R74" s="166"/>
      <c r="S74" s="167" t="str">
        <f>IF(R74="","",IF(Q74="",P74/R74,P74/(Q74*R74)))</f>
        <v/>
      </c>
      <c r="T74" s="168"/>
      <c r="U74" s="169" t="str">
        <f>IF(OR(BA76="",S74=""),"",S74*1000*T74/(SQRT(BA74)*BA76))</f>
        <v/>
      </c>
      <c r="V74" s="236" t="str">
        <f>IF(AND(N(U74)=0,N(U75)=0,N(U76)=0,N(U77)=0),"",BA76/(SUM(U74:U77)))</f>
        <v/>
      </c>
      <c r="W74" s="220"/>
      <c r="X74" s="222"/>
      <c r="Y74" s="223"/>
      <c r="Z74" s="224"/>
      <c r="AA74" s="228"/>
      <c r="AB74" s="230"/>
      <c r="AC74" s="223"/>
      <c r="AD74" s="224"/>
      <c r="AE74" s="232"/>
      <c r="AF74" s="104" t="str">
        <f>IF(OR(AND(AF70="",N(BA72)=0,BA76&lt;&gt;0),D74&lt;&gt;""),AX76/AQ75,"")</f>
        <v/>
      </c>
      <c r="AG74" s="234" t="str">
        <f>IF(BA76=0,"",IF(AD76="",AX74,IF(AND(D74&lt;&gt;"",AU74=""),AX76*SQRT(AP76^2+AP77^2)/SQRT(AS74^2+AS75^2)/AQ75,AX74*SQRT(AP76^2+AP77^2)/SQRT(AS74^2+AS75^2))))</f>
        <v/>
      </c>
      <c r="AH74" s="235"/>
      <c r="AI74" s="105" t="str">
        <f>IF(AG74="","",IF(N(U74)&lt;0,-AX74*AQ75/SQRT(AS74^2+AS75^2),AX74*AQ75/SQRT(AS74^2+AS75^2)))</f>
        <v/>
      </c>
      <c r="AJ74" s="201"/>
      <c r="AK74" s="202"/>
      <c r="AL74" s="106"/>
      <c r="AM74" s="59"/>
      <c r="AN74" s="107" t="b">
        <f>IF(BA74="","",IF(AND(BA74=1,F76=50,L74="油入自冷"),VLOOKUP(L76,変１,2,FALSE),IF(AND(BA74=1,F76=50,L74="モ－ルド絶縁"),VLOOKUP(L76,変１,7,FALSE),IF(AND(BA74=1,F76=60,L74="油入自冷"),VLOOKUP(L76,変１,12,FALSE),IF(AND(BA74=1,F76=60,L74="モ－ルド絶縁"),VLOOKUP(L76,変１,17,FALSE),FALSE)))))</f>
        <v>0</v>
      </c>
      <c r="AO74" s="107">
        <f>IF(ISNA(VLOOKUP(L76,変ＵＳＥＲ,2,FALSE)),0,VLOOKUP(L76,変ＵＳＥＲ,2,FALSE))</f>
        <v>0</v>
      </c>
      <c r="AP74" s="108">
        <f>IF(N74="",0,N74*1000/BA76^2/SQRT(BA74))</f>
        <v>0</v>
      </c>
      <c r="AQ74" s="107" t="b">
        <f>IF(BA74=1,2,IF(BA74=3,SQRT(3),FALSE))</f>
        <v>0</v>
      </c>
      <c r="AR74" s="109" t="str">
        <f>IF(X74="","",IF(X74="600V IV",VLOOKUP(X76,ＩＶ,2,FALSE),IF(X74="600V CV-T",VLOOKUP(X76,ＣＶＴ,2,FALSE),IF(OR(X74="600V CV-1C",X74="600V CV-2C",X74="600V CV-3C",X74="600V CV-4C"),VLOOKUP(X76,ＣＶ２３Ｃ,2,FALSE),VLOOKUP(X76,ＣＵＳＥＲ,2,FALSE)))))</f>
        <v/>
      </c>
      <c r="AS74" s="107" t="str">
        <f>IF(AB77="",AP76,AP76+(AB77/1000))</f>
        <v/>
      </c>
      <c r="AT74" s="110" t="str">
        <f>IF(AU76="",AT76,AU76)</f>
        <v/>
      </c>
      <c r="AU74" s="110" t="str">
        <f>IF(D74="","",IF(AND(D138="",D142&lt;&gt;"",AV77=AV145),AT142,IF(AND(D138="",D142="",D146&lt;&gt;"",AV141=AV149),AT146,IF(AND(D138="",D142="",D146="",D150&lt;&gt;"",AV145=AV153),AT150,IF(AND(D138="",D142="",D146="",D150="",D154&lt;&gt;"",AV149=AV157),AT154,IF(AND(D138="",D142="",D146="",D150="",D154="",D158&lt;&gt;"",AV153=AV161),AT158,IF(AND(D138="",D142="",D146="",D150="",D154="",D158="",D162&lt;&gt;"",AV157=AV165),AT162,"")))))))</f>
        <v/>
      </c>
      <c r="AV74" s="110" t="str">
        <f>IF(L74="発電機",IF(ISNA(VLOOKUP(L76,ＡＣＧ,2,FALSE)),0,VLOOKUP(L76,ＡＣＧ,2,FALSE)),"")</f>
        <v/>
      </c>
      <c r="AW74" s="111" t="str">
        <f>IF(AT74="","",AT74/((AT74*AP74)^2+(AT75*AP74-1)^2))</f>
        <v/>
      </c>
      <c r="AX74" s="112" t="str">
        <f>IF(BA76=0,"",IF(OR(AX70="",AF74&lt;&gt;""),AF74*SQRT(AS76^2+AS77^2)/SQRT(AT76^2+AT77^2),AX70*SQRT(AS76^2+AS77^2)/SQRT(AT76^2+AT77^2)))</f>
        <v/>
      </c>
      <c r="AY74" s="113">
        <f>IF(N(AY76)=10^30,10^30,IF(N(AY140)=10^30,(N(AY76)*(N(AY140)^2+N(AY141)^2)+N(AY140)*(N(AY76)^2+N(AY77)^2))/((N(AY76)+N(AY140))^2+(N(AY77)+N(AY141))^2),(N(AY76)*(N(AY138)^2+N(AY139)^2)+N(AY138)*(N(AY76)^2+N(AY77)^2))/((N(AY76)+N(AY138))^2+(N(AY77)+N(AY139))^2)))</f>
        <v>1E+30</v>
      </c>
      <c r="AZ74" s="52"/>
      <c r="BA74" s="114">
        <f>IF(AND(F74="",SUM(S74:S77)&lt;&gt;0),BA70,F74)</f>
        <v>0</v>
      </c>
      <c r="BB74" s="115">
        <f>IF(AND(BA74=3,S74&lt;&gt;""),1,0)</f>
        <v>0</v>
      </c>
      <c r="BC74" s="52"/>
      <c r="BD74" s="52"/>
      <c r="BH74" s="162">
        <f>IF(OR(E74="",F77="",AND(OR(P74="",Q74="",R74="",T74=""),OR(P75="",Q75="",R75="",T75=""),OR(P76="",Q76="",R76="",T76=""),OR(P77="",Q77="",R77="",T77="")),AND(OR(X74="",X76="",Y76="",Z76=""),OR(AB74="",AB76="",AC76="",AD76=""))),0,1)</f>
        <v>0</v>
      </c>
      <c r="BI74" s="162">
        <f>BH74+BI70</f>
        <v>4</v>
      </c>
      <c r="BJ74" s="4"/>
      <c r="BK74" s="4"/>
    </row>
    <row r="75" spans="1:63" ht="15" customHeight="1" x14ac:dyDescent="0.15">
      <c r="A75" s="159"/>
      <c r="B75" s="159"/>
      <c r="C75" s="245"/>
      <c r="D75" s="432"/>
      <c r="E75" s="448"/>
      <c r="F75" s="434"/>
      <c r="G75" s="241"/>
      <c r="H75" s="435"/>
      <c r="I75" s="241"/>
      <c r="J75" s="435"/>
      <c r="K75" s="247"/>
      <c r="L75" s="436"/>
      <c r="M75" s="170" t="str">
        <f>IF(L74="発電機",SQRT(AV74^2+AV75^2),IF(L76="","",IF(OR(L74="油入自冷",L74="モ－ルド絶縁"),IF(BA74=1,SQRT(AN74^2+AN75^2),IF(BA74=3,SQRT(AN76^2+AN77^2))),SQRT(AO74^2+AO75^2))))</f>
        <v/>
      </c>
      <c r="N75" s="437"/>
      <c r="O75" s="171"/>
      <c r="P75" s="195"/>
      <c r="Q75" s="172"/>
      <c r="R75" s="173"/>
      <c r="S75" s="174" t="str">
        <f t="shared" si="2"/>
        <v/>
      </c>
      <c r="T75" s="175"/>
      <c r="U75" s="176" t="str">
        <f>IF(OR(BA76="",S75=""),"",S75*1000*T75/(SQRT(BA74)*BA76))</f>
        <v/>
      </c>
      <c r="V75" s="237"/>
      <c r="W75" s="221"/>
      <c r="X75" s="225"/>
      <c r="Y75" s="226"/>
      <c r="Z75" s="227"/>
      <c r="AA75" s="229"/>
      <c r="AB75" s="231"/>
      <c r="AC75" s="226"/>
      <c r="AD75" s="227"/>
      <c r="AE75" s="233"/>
      <c r="AF75" s="124" t="str">
        <f>IF(OR(AF74="",AG70&lt;&gt;""),"",AF74*AQ75/SQRT(AT74^2+AT75^2))</f>
        <v/>
      </c>
      <c r="AG75" s="205" t="str">
        <f>IF(AG74="","",100*AG74*AQ75/BA76)</f>
        <v/>
      </c>
      <c r="AH75" s="206"/>
      <c r="AI75" s="207" t="str">
        <f>IF(BA76=0,"",IF(AI70="",AX76/SQRT(AT74^2+AT75^2),IF(AI78="","",IF(AT74&lt;0,-AX74*AQ71/SQRT(AT74^2+AT75^2),AX74*AQ71/SQRT(AT74^2+AT75^2)))))</f>
        <v/>
      </c>
      <c r="AJ75" s="203"/>
      <c r="AK75" s="204"/>
      <c r="AL75" s="125"/>
      <c r="AM75" s="59"/>
      <c r="AN75" s="107" t="b">
        <f>IF(BA74="","",IF(AND(BA74=1,F76=50,L74="油入自冷"),VLOOKUP(L76,変１,3,FALSE),IF(AND(BA74=1,F76=50,L74="モ－ルド絶縁"),VLOOKUP(L76,変１,8,FALSE),IF(AND(BA74=1,F76=60,L74="油入自冷"),VLOOKUP(L76,変１,13,FALSE),IF(AND(BA74=1,F76=60,L74="モ－ルド絶縁"),VLOOKUP(L76,変１,18,FALSE),FALSE)))))</f>
        <v>0</v>
      </c>
      <c r="AO75" s="107">
        <f>IF(ISNA(VLOOKUP(L76,変ＵＳＥＲ,3,FALSE)),0,VLOOKUP(L76,変ＵＳＥＲ,3,FALSE)*BA77/50)</f>
        <v>0</v>
      </c>
      <c r="AP75" s="108">
        <f>IF(W74="",0,W74*1000/BA76^2/SQRT(BA74))</f>
        <v>0</v>
      </c>
      <c r="AQ75" s="107">
        <f>IF(AND(BA74=1,BA75=2),1,IF(AND(BA74=3,BA75=3),1,IF(AND(BA74=1,BA75=3),2,IF(AND(BA74=3,BA75=4)*OR(BB74=1,BB75=1,BB76=1,BB77=1),1,SQRT(3)))))</f>
        <v>1.7320508075688772</v>
      </c>
      <c r="AR75" s="109" t="str">
        <f>IF(X74="","",IF(X74="600V IV",VLOOKUP(X76,ＩＶ,3,FALSE),IF(X74="600V CV-T",VLOOKUP(X76,ＣＶＴ,3,FALSE),IF(OR(X74="600V CV-1C",X74="600V CV-2C",X74="600V CV-3C",X74="600V CV-4C"),VLOOKUP(X76,ＣＶ２３Ｃ,3,FALSE),VLOOKUP(X76,ＣＵＳＥＲ,3,FALSE)))))</f>
        <v/>
      </c>
      <c r="AS75" s="107" t="str">
        <f>IF(AD77="",AP77,AP77+(AD77/1000))</f>
        <v/>
      </c>
      <c r="AT75" s="110" t="str">
        <f>IF(AU77="",AT77,AU77)</f>
        <v/>
      </c>
      <c r="AU75" s="110" t="str">
        <f>IF(D74="","",IF(AND(D138="",D142&lt;&gt;"",AV77=AV145),AT143,IF(AND(D138="",D142="",D146&lt;&gt;"",AV141=AV149),AT147,IF(AND(D138="",D142="",D146="",D150&lt;&gt;"",AV145=AV153),AT151,IF(AND(D138="",D142="",D146="",D150="",D154&lt;&gt;"",AV149=AV157),AT155,IF(AND(D138="",D142="",D146="",D150="",D154="",D158&lt;&gt;"",AV153=AV161),AT159,IF(AND(D138="",D142="",D146="",D150="",D154="",D158="",D162&lt;&gt;"",AV157=AV165),AT163,"")))))))</f>
        <v/>
      </c>
      <c r="AV75" s="109" t="str">
        <f>IF(L74="発電機",IF(ISNA(VLOOKUP(L76,ＡＣＧ,3,FALSE)),0,VLOOKUP(L76,ＡＣＧ,3,FALSE)*BA77/50),"")</f>
        <v/>
      </c>
      <c r="AW75" s="111" t="str">
        <f>IF(AT75="","",(AT75-AP74*(AT74^2+AT75^2))/((AT74*AP74)^2+(AP74*AT75-1)^2))</f>
        <v/>
      </c>
      <c r="AX75" s="112"/>
      <c r="AY75" s="113">
        <f>IF(N(AY77)=10^30,10^30,IF(N(AY141)=10^30,(N(AY77)*(N(AY140)^2+N(AY141)^2)+N(AY141)*(N(AY76)^2+N(AY77)^2))/((N(AY76)+N(AY140))^2+(N(AY77)+N(AY141))^2),(N(AY77)*(N(AY138)^2+N(AY139)^2)+N(AY139)*(N(AY76)^2+N(AY77)^2))/((N(AY76)+N(AY138))^2+(N(AY77)+N(AY139))^2)))</f>
        <v>1E+30</v>
      </c>
      <c r="AZ75" s="52"/>
      <c r="BA75" s="114">
        <f>IF(AND(H74="",SUM(S74:S77)&lt;&gt;0),BA71,H74)</f>
        <v>0</v>
      </c>
      <c r="BB75" s="115">
        <f>IF(AND(BA74=3,S75&lt;&gt;""),1,0)</f>
        <v>0</v>
      </c>
      <c r="BC75" s="52"/>
      <c r="BD75" s="52"/>
      <c r="BH75" s="162"/>
      <c r="BI75" s="162"/>
      <c r="BJ75" s="4"/>
      <c r="BK75" s="4"/>
    </row>
    <row r="76" spans="1:63" ht="15" customHeight="1" x14ac:dyDescent="0.15">
      <c r="A76" s="159"/>
      <c r="B76" s="159"/>
      <c r="C76" s="245"/>
      <c r="D76" s="432"/>
      <c r="E76" s="448"/>
      <c r="F76" s="438"/>
      <c r="G76" s="438"/>
      <c r="H76" s="438"/>
      <c r="I76" s="438"/>
      <c r="J76" s="438"/>
      <c r="K76" s="439"/>
      <c r="L76" s="440"/>
      <c r="M76" s="441"/>
      <c r="N76" s="437"/>
      <c r="O76" s="171"/>
      <c r="P76" s="196"/>
      <c r="Q76" s="177"/>
      <c r="R76" s="173"/>
      <c r="S76" s="174" t="str">
        <f t="shared" si="2"/>
        <v/>
      </c>
      <c r="T76" s="175"/>
      <c r="U76" s="178" t="str">
        <f>IF(OR(BA76="",S76=""),"",S76*1000*T76/(SQRT(BA74)*BA76))</f>
        <v/>
      </c>
      <c r="V76" s="179" t="str">
        <f>IF(AND(N(U74)=0,N(U75)=0,N(U76)=0,N(U77)=0),"",V74*(P74*R74*T74+P75*R75*T75+P76*R76*T76+P77*R77*T77)/(P74*T74+P75*T75+P76*T76+P77*T77))</f>
        <v/>
      </c>
      <c r="W76" s="209" t="str">
        <f>IF(AND(N(AP76)=0,N(AP77)=0,N(AP75)=0),"",IF(AP77&gt;=0,COS(ATAN(AP77/AP76)),-COS(ATAN(AP77/AP76))))</f>
        <v/>
      </c>
      <c r="X76" s="180"/>
      <c r="Y76" s="181"/>
      <c r="Z76" s="182"/>
      <c r="AA76" s="183"/>
      <c r="AB76" s="184"/>
      <c r="AC76" s="181"/>
      <c r="AD76" s="182"/>
      <c r="AE76" s="185"/>
      <c r="AF76" s="136" t="str">
        <f>IF(OR(AF74="",AG70&lt;&gt;""),"",BA76/SQRT(AW76^2+AW77^2))</f>
        <v/>
      </c>
      <c r="AG76" s="205" t="str">
        <f>IF(AG74="","",100*((BA76/AQ75)-AG74)/(BA76/AQ75))</f>
        <v/>
      </c>
      <c r="AH76" s="206"/>
      <c r="AI76" s="208"/>
      <c r="AJ76" s="211"/>
      <c r="AK76" s="213"/>
      <c r="AL76" s="137"/>
      <c r="AM76" s="59"/>
      <c r="AN76" s="138" t="b">
        <f>IF(BA74="","",IF(AND(BA74=3,F76=50,L74="油入自冷"),VLOOKUP(L76,変３,2,FALSE),IF(AND(BA74=3,F76=50,L74="モ－ルド絶縁"),VLOOKUP(L76,変３,7,FALSE),IF(AND(BA74=3,F76=60,L74="油入自冷"),VLOOKUP(L76,変３,12,FALSE),IF(AND(BA74=3,F76=60,L74="モ－ルド絶縁"),VLOOKUP(L76,変３,17,FALSE),FALSE)))))</f>
        <v>0</v>
      </c>
      <c r="AO76" s="109" t="str">
        <f>IF(AND(L70="",N(AY74)&lt;10^29),AY74,"")</f>
        <v/>
      </c>
      <c r="AP76" s="139" t="str">
        <f>IF(V74="","",IF(AND(N(V76)=0,N(AP75)=0),"",AQ76/((AQ76*AP75)^2+(AP75*AQ77-1)^2)))</f>
        <v/>
      </c>
      <c r="AQ76" s="107">
        <f>IF(N(V76)=0,10^30,V76)</f>
        <v>1E+30</v>
      </c>
      <c r="AR76" s="109" t="str">
        <f>IF(AB74="","",IF(AB74="600V IV",VLOOKUP(AB76,ＩＶ,2,FALSE),IF(AB74="600V CV-T",VLOOKUP(AB76,ＣＶＴ,2,FALSE),IF(OR(AB74="600V CV-1C",AB74="600V CV-2C",AB74="600V CV-3C",AB74="600V CV-4C"),VLOOKUP(AB76,ＣＶ２３Ｃ,2,FALSE),VLOOKUP(AB76,ＣＵＳＥＲ,2,FALSE)))))</f>
        <v/>
      </c>
      <c r="AS76" s="107" t="str">
        <f>IF(OR(AND(AS138="",AS139=""),AND(D74="",D138&lt;&gt;"")),AS74,(AS74*(AT138^2+AT139^2)+AT138*(AS74^2+AS75^2))/((AS74+AT138)^2+(AS75+AT139)^2))</f>
        <v/>
      </c>
      <c r="AT76" s="110" t="str">
        <f>IF(X77="",AS76,N(AS76)+(X77/1000))</f>
        <v/>
      </c>
      <c r="AU76" s="110" t="str">
        <f>IF(AU74="","",(AT76*(AU74^2+AU75^2)+AU74*(AT76^2+AT77^2))/((AT76+AU74)^2+(AT77+AU75)^2))</f>
        <v/>
      </c>
      <c r="AV76" s="110">
        <f>IF(BA76=0,1,0)</f>
        <v>1</v>
      </c>
      <c r="AW76" s="111" t="str">
        <f>IF(AO76="","",AW74+AO76)</f>
        <v/>
      </c>
      <c r="AX76" s="112" t="e">
        <f>IF(AND(AX72="",AW76&lt;&gt;""),BA76*SQRT(AW74^2+AW75^2)/SQRT(AW76^2+AW77^2),IF(BA76&lt;&gt;0,AX72,""))</f>
        <v>#REF!</v>
      </c>
      <c r="AY76" s="140">
        <f>IF(L76="",10^30,SQRT(BA74)*(BA76^2)*(N(AN74)+N(AN76)+N(AO74)+N(AV74))/(100000*L76*M74))</f>
        <v>1E+30</v>
      </c>
      <c r="AZ76" s="141"/>
      <c r="BA76" s="114">
        <f>IF(AND(J74="",SUM(S74:S77)&lt;&gt;0),BA72,J74)</f>
        <v>0</v>
      </c>
      <c r="BB76" s="115">
        <f>IF(AND(BA74=3,S76&lt;&gt;""),1,0)</f>
        <v>0</v>
      </c>
      <c r="BC76" s="52"/>
      <c r="BD76" s="52"/>
      <c r="BH76" s="162"/>
      <c r="BI76" s="162"/>
      <c r="BJ76" s="4"/>
      <c r="BK76" s="4"/>
    </row>
    <row r="77" spans="1:63" ht="15" customHeight="1" x14ac:dyDescent="0.15">
      <c r="A77" s="159"/>
      <c r="B77" s="159"/>
      <c r="C77" s="245"/>
      <c r="D77" s="442"/>
      <c r="E77" s="449"/>
      <c r="F77" s="444"/>
      <c r="G77" s="444"/>
      <c r="H77" s="444"/>
      <c r="I77" s="444"/>
      <c r="J77" s="444"/>
      <c r="K77" s="445"/>
      <c r="L77" s="238" t="str">
        <f>IF(M74="","",L76*1000*M74/(SQRT(BA74)*BA76))</f>
        <v/>
      </c>
      <c r="M77" s="239"/>
      <c r="N77" s="446"/>
      <c r="O77" s="186"/>
      <c r="P77" s="197"/>
      <c r="Q77" s="187"/>
      <c r="R77" s="188"/>
      <c r="S77" s="189" t="str">
        <f t="shared" si="2"/>
        <v/>
      </c>
      <c r="T77" s="190"/>
      <c r="U77" s="191" t="str">
        <f>IF(OR(BA76="",S77=""),"",S77*1000*T77/(SQRT(BA74)*BA76))</f>
        <v/>
      </c>
      <c r="V77" s="192" t="str">
        <f>IF(AND(N(U74)=0,N(U75)=0,N(U76)=0,N(U77)=0),"",IF(V74&gt;=0,SQRT(ABS(V74^2-V76^2)),-SQRT(V74^2-V76^2)))</f>
        <v/>
      </c>
      <c r="W77" s="210"/>
      <c r="X77" s="215" t="str">
        <f>IF(Y76="","",AQ74*Z76*AR74*((1+0.00393*(F77-20))/1.2751)/Y76)</f>
        <v/>
      </c>
      <c r="Y77" s="216"/>
      <c r="Z77" s="217" t="str">
        <f>IF(Y76="","",(BA77/50)*AQ74*Z76*AR75/Y76)</f>
        <v/>
      </c>
      <c r="AA77" s="218"/>
      <c r="AB77" s="219" t="str">
        <f>IF(AC76="","",AQ74*AD76*AR76*((1+0.00393*(F77-20))/1.2751)/AC76)</f>
        <v/>
      </c>
      <c r="AC77" s="216"/>
      <c r="AD77" s="217" t="str">
        <f>IF(AC76="","",(BA77/50)*AQ74*AD76*AR77/AC76)</f>
        <v/>
      </c>
      <c r="AE77" s="242"/>
      <c r="AF77" s="150" t="str">
        <f>IF(AND(AX74&lt;&gt;"",D74=""),AX74,"")</f>
        <v/>
      </c>
      <c r="AG77" s="243" t="str">
        <f>IF(AP76="","",AP76)</f>
        <v/>
      </c>
      <c r="AH77" s="244"/>
      <c r="AI77" s="151" t="str">
        <f>IF(AP77="","",AP77)</f>
        <v/>
      </c>
      <c r="AJ77" s="212"/>
      <c r="AK77" s="214"/>
      <c r="AL77" s="152"/>
      <c r="AM77" s="59"/>
      <c r="AN77" s="153" t="b">
        <f>IF(BA74="","",IF(AND(BA74=3,F76=50,L74="油入自冷"),VLOOKUP(L76,変３,3,FALSE),IF(AND(BA74=3,F76=50,L74="モ－ルド絶縁"),VLOOKUP(L76,変３,8,FALSE),IF(AND(BA74=3,F76=60,L74="油入自冷"),VLOOKUP(L76,変３,13,FALSE),IF(AND(BA74=3,F76=60,L74="モ－ルド絶縁"),VLOOKUP(L76,変３,18,FALSE),FALSE)))))</f>
        <v>0</v>
      </c>
      <c r="AO77" s="153" t="str">
        <f>IF(AND(L70="",N(AY75)&lt;10^29),AY75,"")</f>
        <v/>
      </c>
      <c r="AP77" s="154" t="str">
        <f>IF(V74="","",IF(AND(N(V77)=0,N(AP75)=0),0,(AQ77-AP75*(AQ76^2+AQ77^2))/((AQ76*AP75)^2+(AP75*AQ77-1)^2)))</f>
        <v/>
      </c>
      <c r="AQ77" s="155">
        <f>IF(N(V77)=0,10^30,V77)</f>
        <v>1E+30</v>
      </c>
      <c r="AR77" s="153" t="str">
        <f>IF(AB74="","",IF(AB74="600V IV",VLOOKUP(AB76,ＩＶ,3,FALSE),IF(AB74="600V CV-T",VLOOKUP(AB76,ＣＶＴ,3,FALSE),IF(OR(AB74="600V CV-1C",AB74="600V CV-2C",AB74="600V CV-3C",AB74="600V CV-4C"),VLOOKUP(AB76,ＣＶ２３Ｃ,3,FALSE),VLOOKUP(AB76,ＣＵＳＥＲ,3,FALSE)))))</f>
        <v/>
      </c>
      <c r="AS77" s="155" t="str">
        <f>IF(OR(AND(AS138="",AS139=""),AND(D74="",D138&lt;&gt;"")),AS75,(AS75*(AT138^2+AT139^2)+AT139*(AS74^2+AS75^2))/((AS74+AT138)^2+(AS75+AT139)^2))</f>
        <v/>
      </c>
      <c r="AT77" s="156" t="str">
        <f>IF(Z77="",AS77,N(AS77)+(Z77/1000))</f>
        <v/>
      </c>
      <c r="AU77" s="156" t="str">
        <f>IF(AU75="","",(AT77*(AU74^2+AU75^2)+AU75*(AT76^2+AT77^2))/((AT76+AU74)^2+(AT77+AU75)^2))</f>
        <v/>
      </c>
      <c r="AV77" s="156" t="e">
        <f>AV73+AV76</f>
        <v>#REF!</v>
      </c>
      <c r="AW77" s="155" t="str">
        <f>IF(AO77="","",AW75+AO77)</f>
        <v/>
      </c>
      <c r="AX77" s="157"/>
      <c r="AY77" s="140">
        <f>IF(L76="",10^30,SQRT(BA74)*(BA76^2)*(N(AN75)+N(AN77)+N(AO75)+N(AV75))/(100000*L76*M74))</f>
        <v>1E+30</v>
      </c>
      <c r="AZ77" s="141"/>
      <c r="BA77" s="114">
        <f>IF(AND(F76="",SUM(S74:S77)&lt;&gt;0),BA73,F76)</f>
        <v>0</v>
      </c>
      <c r="BB77" s="115">
        <f>IF(AND(BA74=3,S77&lt;&gt;""),1,0)</f>
        <v>0</v>
      </c>
      <c r="BC77" s="52"/>
      <c r="BD77" s="52"/>
      <c r="BH77" s="162"/>
      <c r="BI77" s="162"/>
      <c r="BJ77" s="4"/>
      <c r="BK77" s="4"/>
    </row>
    <row r="78" spans="1:63" ht="15" customHeight="1" x14ac:dyDescent="0.15">
      <c r="A78" s="159"/>
      <c r="B78" s="159"/>
      <c r="C78" s="245" t="str">
        <f>IF(BH78=1,"●","・")</f>
        <v>・</v>
      </c>
      <c r="D78" s="425"/>
      <c r="E78" s="447"/>
      <c r="F78" s="427"/>
      <c r="G78" s="240" t="str">
        <f>IF(F78="","","φ")</f>
        <v/>
      </c>
      <c r="H78" s="428"/>
      <c r="I78" s="240" t="str">
        <f>IF(H78="","","W")</f>
        <v/>
      </c>
      <c r="J78" s="428"/>
      <c r="K78" s="246" t="str">
        <f>IF(J78="","","V")</f>
        <v/>
      </c>
      <c r="L78" s="429"/>
      <c r="M78" s="430"/>
      <c r="N78" s="431"/>
      <c r="O78" s="164"/>
      <c r="P78" s="194"/>
      <c r="Q78" s="165"/>
      <c r="R78" s="166"/>
      <c r="S78" s="167" t="str">
        <f>IF(R78="","",IF(Q78="",P78/R78,P78/(Q78*R78)))</f>
        <v/>
      </c>
      <c r="T78" s="168"/>
      <c r="U78" s="169" t="str">
        <f>IF(OR(BA80="",S78=""),"",S78*1000*T78/(SQRT(BA78)*BA80))</f>
        <v/>
      </c>
      <c r="V78" s="236" t="str">
        <f>IF(AND(N(U78)=0,N(U79)=0,N(U80)=0,N(U81)=0),"",BA80/(SUM(U78:U81)))</f>
        <v/>
      </c>
      <c r="W78" s="220"/>
      <c r="X78" s="222"/>
      <c r="Y78" s="223"/>
      <c r="Z78" s="224"/>
      <c r="AA78" s="228"/>
      <c r="AB78" s="230"/>
      <c r="AC78" s="223"/>
      <c r="AD78" s="224"/>
      <c r="AE78" s="232"/>
      <c r="AF78" s="104" t="str">
        <f>IF(OR(AND(AF74="",N(BA76)=0,BA80&lt;&gt;0),D78&lt;&gt;""),AX80/AQ79,"")</f>
        <v/>
      </c>
      <c r="AG78" s="234" t="str">
        <f>IF(BA80=0,"",IF(AD80="",AX78,IF(AND(D78&lt;&gt;"",AU78=""),AX80*SQRT(AP80^2+AP81^2)/SQRT(AS78^2+AS79^2)/AQ79,AX78*SQRT(AP80^2+AP81^2)/SQRT(AS78^2+AS79^2))))</f>
        <v/>
      </c>
      <c r="AH78" s="235"/>
      <c r="AI78" s="105" t="str">
        <f>IF(AG78="","",IF(N(U78)&lt;0,-AX78*AQ79/SQRT(AS78^2+AS79^2),AX78*AQ79/SQRT(AS78^2+AS79^2)))</f>
        <v/>
      </c>
      <c r="AJ78" s="201"/>
      <c r="AK78" s="202"/>
      <c r="AL78" s="106"/>
      <c r="AM78" s="59"/>
      <c r="AN78" s="107" t="b">
        <f>IF(BA78="","",IF(AND(BA78=1,F80=50,L78="油入自冷"),VLOOKUP(L80,変１,2,FALSE),IF(AND(BA78=1,F80=50,L78="モ－ルド絶縁"),VLOOKUP(L80,変１,7,FALSE),IF(AND(BA78=1,F80=60,L78="油入自冷"),VLOOKUP(L80,変１,12,FALSE),IF(AND(BA78=1,F80=60,L78="モ－ルド絶縁"),VLOOKUP(L80,変１,17,FALSE),FALSE)))))</f>
        <v>0</v>
      </c>
      <c r="AO78" s="107">
        <f>IF(ISNA(VLOOKUP(L80,変ＵＳＥＲ,2,FALSE)),0,VLOOKUP(L80,変ＵＳＥＲ,2,FALSE))</f>
        <v>0</v>
      </c>
      <c r="AP78" s="108">
        <f>IF(N78="",0,N78*1000/BA80^2/SQRT(BA78))</f>
        <v>0</v>
      </c>
      <c r="AQ78" s="107" t="b">
        <f>IF(BA78=1,2,IF(BA78=3,SQRT(3),FALSE))</f>
        <v>0</v>
      </c>
      <c r="AR78" s="109" t="str">
        <f>IF(X78="","",IF(X78="600V IV",VLOOKUP(X80,ＩＶ,2,FALSE),IF(X78="600V CV-T",VLOOKUP(X80,ＣＶＴ,2,FALSE),IF(OR(X78="600V CV-1C",X78="600V CV-2C",X78="600V CV-3C",X78="600V CV-4C"),VLOOKUP(X80,ＣＶ２３Ｃ,2,FALSE),VLOOKUP(X80,ＣＵＳＥＲ,2,FALSE)))))</f>
        <v/>
      </c>
      <c r="AS78" s="107" t="str">
        <f>IF(AB81="",AP80,AP80+(AB81/1000))</f>
        <v/>
      </c>
      <c r="AT78" s="110" t="str">
        <f>IF(AU80="",AT80,AU80)</f>
        <v/>
      </c>
      <c r="AU78" s="110" t="str">
        <f>IF(D78="","",IF(AND(D142="",D146&lt;&gt;"",AV81=AV149),AT146,IF(AND(D142="",D146="",D150&lt;&gt;"",AV145=AV153),AT150,IF(AND(D142="",D146="",D150="",D154&lt;&gt;"",AV149=AV157),AT154,IF(AND(D142="",D146="",D150="",D154="",D158&lt;&gt;"",AV153=AV161),AT158,IF(AND(D142="",D146="",D150="",D154="",D158="",D162&lt;&gt;"",AV157=AV165),AT162,IF(AND(D142="",D146="",D150="",D154="",D158="",D162="",D166&lt;&gt;"",AV161=AV169),AT166,"")))))))</f>
        <v/>
      </c>
      <c r="AV78" s="110" t="str">
        <f>IF(L78="発電機",IF(ISNA(VLOOKUP(L80,ＡＣＧ,2,FALSE)),0,VLOOKUP(L80,ＡＣＧ,2,FALSE)),"")</f>
        <v/>
      </c>
      <c r="AW78" s="111" t="str">
        <f>IF(AT78="","",AT78/((AT78*AP78)^2+(AT79*AP78-1)^2))</f>
        <v/>
      </c>
      <c r="AX78" s="112" t="str">
        <f>IF(BA80=0,"",IF(OR(AX14="",AF78&lt;&gt;""),AF78*SQRT(AS80^2+AS81^2)/SQRT(AT80^2+AT81^2),AX14*SQRT(AS80^2+AS81^2)/SQRT(AT80^2+AT81^2)))</f>
        <v/>
      </c>
      <c r="AY78" s="113">
        <f>IF(N(AY80)=10^30,10^30,IF(N(AY144)=10^30,(N(AY80)*(N(AY144)^2+N(AY145)^2)+N(AY144)*(N(AY80)^2+N(AY81)^2))/((N(AY80)+N(AY144))^2+(N(AY81)+N(AY145))^2),(N(AY80)*(N(AY142)^2+N(AY143)^2)+N(AY142)*(N(AY80)^2+N(AY81)^2))/((N(AY80)+N(AY142))^2+(N(AY81)+N(AY143))^2)))</f>
        <v>1E+30</v>
      </c>
      <c r="AZ78" s="52"/>
      <c r="BA78" s="114">
        <f>IF(AND(F78="",SUM(S78:S81)&lt;&gt;0),BA14,F78)</f>
        <v>0</v>
      </c>
      <c r="BB78" s="115">
        <f>IF(AND(BA78=3,S78&lt;&gt;""),1,0)</f>
        <v>0</v>
      </c>
      <c r="BC78" s="52"/>
      <c r="BD78" s="52"/>
      <c r="BH78" s="162">
        <f>IF(OR(E78="",F81="",AND(OR(P78="",Q78="",R78="",T78=""),OR(P79="",Q79="",R79="",T79=""),OR(P80="",Q80="",R80="",T80=""),OR(P81="",Q81="",R81="",T81="")),AND(OR(X78="",X80="",Y80="",Z80=""),OR(AB78="",AB80="",AC80="",AD80=""))),0,1)</f>
        <v>0</v>
      </c>
      <c r="BI78" s="162">
        <f>BH78+BI74</f>
        <v>4</v>
      </c>
      <c r="BJ78" s="4"/>
      <c r="BK78" s="4"/>
    </row>
    <row r="79" spans="1:63" ht="15" customHeight="1" x14ac:dyDescent="0.15">
      <c r="A79" s="159"/>
      <c r="B79" s="159"/>
      <c r="C79" s="245"/>
      <c r="D79" s="432"/>
      <c r="E79" s="448"/>
      <c r="F79" s="434"/>
      <c r="G79" s="241"/>
      <c r="H79" s="435"/>
      <c r="I79" s="241"/>
      <c r="J79" s="435"/>
      <c r="K79" s="247"/>
      <c r="L79" s="436"/>
      <c r="M79" s="170" t="str">
        <f>IF(L78="発電機",SQRT(AV78^2+AV79^2),IF(L80="","",IF(OR(L78="油入自冷",L78="モ－ルド絶縁"),IF(BA78=1,SQRT(AN78^2+AN79^2),IF(BA78=3,SQRT(AN80^2+AN81^2))),SQRT(AO78^2+AO79^2))))</f>
        <v/>
      </c>
      <c r="N79" s="437"/>
      <c r="O79" s="171"/>
      <c r="P79" s="195"/>
      <c r="Q79" s="172"/>
      <c r="R79" s="173"/>
      <c r="S79" s="174" t="str">
        <f t="shared" ref="S79:S97" si="3">IF(R79="","",IF(Q79="",P79/R79,P79/(Q79*R79)))</f>
        <v/>
      </c>
      <c r="T79" s="175"/>
      <c r="U79" s="176" t="str">
        <f>IF(OR(BA80="",S79=""),"",S79*1000*T79/(SQRT(BA78)*BA80))</f>
        <v/>
      </c>
      <c r="V79" s="237"/>
      <c r="W79" s="221"/>
      <c r="X79" s="225"/>
      <c r="Y79" s="226"/>
      <c r="Z79" s="227"/>
      <c r="AA79" s="229"/>
      <c r="AB79" s="231"/>
      <c r="AC79" s="226"/>
      <c r="AD79" s="227"/>
      <c r="AE79" s="233"/>
      <c r="AF79" s="124" t="str">
        <f>IF(OR(AF78="",AG74&lt;&gt;""),"",AF78*AQ79/SQRT(AT78^2+AT79^2))</f>
        <v/>
      </c>
      <c r="AG79" s="205" t="str">
        <f>IF(AG78="","",100*AG78*AQ79/BA80)</f>
        <v/>
      </c>
      <c r="AH79" s="206"/>
      <c r="AI79" s="207" t="str">
        <f>IF(BA80=0,"",IF(AI74="",AX80/SQRT(AT78^2+AT79^2),IF(AI82="","",IF(AT78&lt;0,-AX78*AQ75/SQRT(AT78^2+AT79^2),AX78*AQ75/SQRT(AT78^2+AT79^2)))))</f>
        <v/>
      </c>
      <c r="AJ79" s="203"/>
      <c r="AK79" s="204"/>
      <c r="AL79" s="125"/>
      <c r="AM79" s="59"/>
      <c r="AN79" s="107" t="b">
        <f>IF(BA78="","",IF(AND(BA78=1,F80=50,L78="油入自冷"),VLOOKUP(L80,変１,3,FALSE),IF(AND(BA78=1,F80=50,L78="モ－ルド絶縁"),VLOOKUP(L80,変１,8,FALSE),IF(AND(BA78=1,F80=60,L78="油入自冷"),VLOOKUP(L80,変１,13,FALSE),IF(AND(BA78=1,F80=60,L78="モ－ルド絶縁"),VLOOKUP(L80,変１,18,FALSE),FALSE)))))</f>
        <v>0</v>
      </c>
      <c r="AO79" s="107">
        <f>IF(ISNA(VLOOKUP(L80,変ＵＳＥＲ,3,FALSE)),0,VLOOKUP(L80,変ＵＳＥＲ,3,FALSE)*BA81/50)</f>
        <v>0</v>
      </c>
      <c r="AP79" s="108">
        <f>IF(W78="",0,W78*1000/BA80^2/SQRT(BA78))</f>
        <v>0</v>
      </c>
      <c r="AQ79" s="107">
        <f>IF(AND(BA78=1,BA79=2),1,IF(AND(BA78=3,BA79=3),1,IF(AND(BA78=1,BA79=3),2,IF(AND(BA78=3,BA79=4)*OR(BB78=1,BB79=1,BB80=1,BB81=1),1,SQRT(3)))))</f>
        <v>1.7320508075688772</v>
      </c>
      <c r="AR79" s="109" t="str">
        <f>IF(X78="","",IF(X78="600V IV",VLOOKUP(X80,ＩＶ,3,FALSE),IF(X78="600V CV-T",VLOOKUP(X80,ＣＶＴ,3,FALSE),IF(OR(X78="600V CV-1C",X78="600V CV-2C",X78="600V CV-3C",X78="600V CV-4C"),VLOOKUP(X80,ＣＶ２３Ｃ,3,FALSE),VLOOKUP(X80,ＣＵＳＥＲ,3,FALSE)))))</f>
        <v/>
      </c>
      <c r="AS79" s="107" t="str">
        <f>IF(AD81="",AP81,AP81+(AD81/1000))</f>
        <v/>
      </c>
      <c r="AT79" s="110" t="str">
        <f>IF(AU81="",AT81,AU81)</f>
        <v/>
      </c>
      <c r="AU79" s="110" t="str">
        <f>IF(D78="","",IF(AND(D142="",D146&lt;&gt;"",AV81=AV149),AT147,IF(AND(D142="",D146="",D150&lt;&gt;"",AV145=AV153),AT151,IF(AND(D142="",D146="",D150="",D154&lt;&gt;"",AV149=AV157),AT155,IF(AND(D142="",D146="",D150="",D154="",D158&lt;&gt;"",AV153=AV161),AT159,IF(AND(D142="",D146="",D150="",D154="",D158="",D162&lt;&gt;"",AV157=AV165),AT163,IF(AND(D142="",D146="",D150="",D154="",D158="",D162="",D166&lt;&gt;"",AV161=AV169),AT167,"")))))))</f>
        <v/>
      </c>
      <c r="AV79" s="109" t="str">
        <f>IF(L78="発電機",IF(ISNA(VLOOKUP(L80,ＡＣＧ,3,FALSE)),0,VLOOKUP(L80,ＡＣＧ,3,FALSE)*BA81/50),"")</f>
        <v/>
      </c>
      <c r="AW79" s="111" t="str">
        <f>IF(AT79="","",(AT79-AP78*(AT78^2+AT79^2))/((AT78*AP78)^2+(AP78*AT79-1)^2))</f>
        <v/>
      </c>
      <c r="AX79" s="112"/>
      <c r="AY79" s="113">
        <f>IF(N(AY81)=10^30,10^30,IF(N(AY145)=10^30,(N(AY81)*(N(AY144)^2+N(AY145)^2)+N(AY145)*(N(AY80)^2+N(AY81)^2))/((N(AY80)+N(AY144))^2+(N(AY81)+N(AY145))^2),(N(AY81)*(N(AY142)^2+N(AY143)^2)+N(AY143)*(N(AY80)^2+N(AY81)^2))/((N(AY80)+N(AY142))^2+(N(AY81)+N(AY143))^2)))</f>
        <v>1E+30</v>
      </c>
      <c r="AZ79" s="52"/>
      <c r="BA79" s="114">
        <f>IF(AND(H78="",SUM(S78:S81)&lt;&gt;0),BA15,H78)</f>
        <v>0</v>
      </c>
      <c r="BB79" s="115">
        <f>IF(AND(BA78=3,S79&lt;&gt;""),1,0)</f>
        <v>0</v>
      </c>
      <c r="BC79" s="52"/>
      <c r="BD79" s="52"/>
      <c r="BH79" s="162"/>
      <c r="BI79" s="162"/>
      <c r="BJ79" s="4"/>
      <c r="BK79" s="4"/>
    </row>
    <row r="80" spans="1:63" ht="15" customHeight="1" x14ac:dyDescent="0.15">
      <c r="A80" s="159"/>
      <c r="B80" s="159"/>
      <c r="C80" s="245"/>
      <c r="D80" s="432"/>
      <c r="E80" s="448"/>
      <c r="F80" s="438"/>
      <c r="G80" s="438"/>
      <c r="H80" s="438"/>
      <c r="I80" s="438"/>
      <c r="J80" s="438"/>
      <c r="K80" s="439"/>
      <c r="L80" s="440"/>
      <c r="M80" s="441"/>
      <c r="N80" s="437"/>
      <c r="O80" s="171"/>
      <c r="P80" s="196"/>
      <c r="Q80" s="177"/>
      <c r="R80" s="173"/>
      <c r="S80" s="174" t="str">
        <f t="shared" si="3"/>
        <v/>
      </c>
      <c r="T80" s="175"/>
      <c r="U80" s="178" t="str">
        <f>IF(OR(BA80="",S80=""),"",S80*1000*T80/(SQRT(BA78)*BA80))</f>
        <v/>
      </c>
      <c r="V80" s="179" t="str">
        <f>IF(AND(N(U78)=0,N(U79)=0,N(U80)=0,N(U81)=0),"",V78*(P78*R78*T78+P79*R79*T79+P80*R80*T80+P81*R81*T81)/(P78*T78+P79*T79+P80*T80+P81*T81))</f>
        <v/>
      </c>
      <c r="W80" s="209" t="str">
        <f>IF(AND(N(AP80)=0,N(AP81)=0,N(AP79)=0),"",IF(AP81&gt;=0,COS(ATAN(AP81/AP80)),-COS(ATAN(AP81/AP80))))</f>
        <v/>
      </c>
      <c r="X80" s="180"/>
      <c r="Y80" s="181"/>
      <c r="Z80" s="182"/>
      <c r="AA80" s="183"/>
      <c r="AB80" s="184"/>
      <c r="AC80" s="181"/>
      <c r="AD80" s="182"/>
      <c r="AE80" s="185"/>
      <c r="AF80" s="136" t="str">
        <f>IF(OR(AF78="",AG74&lt;&gt;""),"",BA80/SQRT(AW80^2+AW81^2))</f>
        <v/>
      </c>
      <c r="AG80" s="205" t="str">
        <f>IF(AG78="","",100*((BA80/AQ79)-AG78)/(BA80/AQ79))</f>
        <v/>
      </c>
      <c r="AH80" s="206"/>
      <c r="AI80" s="208"/>
      <c r="AJ80" s="211"/>
      <c r="AK80" s="213"/>
      <c r="AL80" s="137"/>
      <c r="AM80" s="59"/>
      <c r="AN80" s="138" t="b">
        <f>IF(BA78="","",IF(AND(BA78=3,F80=50,L78="油入自冷"),VLOOKUP(L80,変３,2,FALSE),IF(AND(BA78=3,F80=50,L78="モ－ルド絶縁"),VLOOKUP(L80,変３,7,FALSE),IF(AND(BA78=3,F80=60,L78="油入自冷"),VLOOKUP(L80,変３,12,FALSE),IF(AND(BA78=3,F80=60,L78="モ－ルド絶縁"),VLOOKUP(L80,変３,17,FALSE),FALSE)))))</f>
        <v>0</v>
      </c>
      <c r="AO80" s="109" t="str">
        <f>IF(AND(L14="",N(AY78)&lt;10^29),AY78,"")</f>
        <v/>
      </c>
      <c r="AP80" s="139" t="str">
        <f>IF(V78="","",IF(AND(N(V80)=0,N(AP79)=0),"",AQ80/((AQ80*AP79)^2+(AP79*AQ81-1)^2)))</f>
        <v/>
      </c>
      <c r="AQ80" s="107">
        <f>IF(N(V80)=0,10^30,V80)</f>
        <v>1E+30</v>
      </c>
      <c r="AR80" s="109" t="str">
        <f>IF(AB78="","",IF(AB78="600V IV",VLOOKUP(AB80,ＩＶ,2,FALSE),IF(AB78="600V CV-T",VLOOKUP(AB80,ＣＶＴ,2,FALSE),IF(OR(AB78="600V CV-1C",AB78="600V CV-2C",AB78="600V CV-3C",AB78="600V CV-4C"),VLOOKUP(AB80,ＣＶ２３Ｃ,2,FALSE),VLOOKUP(AB80,ＣＵＳＥＲ,2,FALSE)))))</f>
        <v/>
      </c>
      <c r="AS80" s="107" t="str">
        <f>IF(OR(AND(AS142="",AS143=""),AND(D78="",D142&lt;&gt;"")),AS78,(AS78*(AT142^2+AT143^2)+AT142*(AS78^2+AS79^2))/((AS78+AT142)^2+(AS79+AT143)^2))</f>
        <v/>
      </c>
      <c r="AT80" s="110" t="str">
        <f>IF(X81="",AS80,N(AS80)+(X81/1000))</f>
        <v/>
      </c>
      <c r="AU80" s="110" t="str">
        <f>IF(AU78="","",(AT80*(AU78^2+AU79^2)+AU78*(AT80^2+AT81^2))/((AT80+AU78)^2+(AT81+AU79)^2))</f>
        <v/>
      </c>
      <c r="AV80" s="110">
        <f>IF(BA80=0,1,0)</f>
        <v>1</v>
      </c>
      <c r="AW80" s="111" t="str">
        <f>IF(AO80="","",AW78+AO80)</f>
        <v/>
      </c>
      <c r="AX80" s="112" t="str">
        <f>IF(AND(AX16="",AW80&lt;&gt;""),BA80*SQRT(AW78^2+AW79^2)/SQRT(AW80^2+AW81^2),IF(BA80&lt;&gt;0,AX16,""))</f>
        <v/>
      </c>
      <c r="AY80" s="140">
        <f>IF(L80="",10^30,SQRT(BA78)*(BA80^2)*(N(AN78)+N(AN80)+N(AO78)+N(AV78))/(100000*L80*M78))</f>
        <v>1E+30</v>
      </c>
      <c r="AZ80" s="141"/>
      <c r="BA80" s="114">
        <f>IF(AND(J78="",SUM(S78:S81)&lt;&gt;0),BA16,J78)</f>
        <v>0</v>
      </c>
      <c r="BB80" s="115">
        <f>IF(AND(BA78=3,S80&lt;&gt;""),1,0)</f>
        <v>0</v>
      </c>
      <c r="BC80" s="52"/>
      <c r="BD80" s="52"/>
      <c r="BH80" s="162"/>
      <c r="BI80" s="162"/>
      <c r="BJ80" s="4"/>
      <c r="BK80" s="4"/>
    </row>
    <row r="81" spans="1:63" ht="15" customHeight="1" x14ac:dyDescent="0.15">
      <c r="A81" s="159"/>
      <c r="B81" s="159"/>
      <c r="C81" s="245"/>
      <c r="D81" s="442"/>
      <c r="E81" s="449"/>
      <c r="F81" s="444"/>
      <c r="G81" s="444"/>
      <c r="H81" s="444"/>
      <c r="I81" s="444"/>
      <c r="J81" s="444"/>
      <c r="K81" s="445"/>
      <c r="L81" s="238" t="str">
        <f>IF(M78="","",L80*1000*M78/(SQRT(BA78)*BA80))</f>
        <v/>
      </c>
      <c r="M81" s="239"/>
      <c r="N81" s="446"/>
      <c r="O81" s="186"/>
      <c r="P81" s="197"/>
      <c r="Q81" s="187"/>
      <c r="R81" s="188"/>
      <c r="S81" s="189" t="str">
        <f t="shared" si="3"/>
        <v/>
      </c>
      <c r="T81" s="190"/>
      <c r="U81" s="191" t="str">
        <f>IF(OR(BA80="",S81=""),"",S81*1000*T81/(SQRT(BA78)*BA80))</f>
        <v/>
      </c>
      <c r="V81" s="192" t="str">
        <f>IF(AND(N(U78)=0,N(U79)=0,N(U80)=0,N(U81)=0),"",IF(V78&gt;=0,SQRT(ABS(V78^2-V80^2)),-SQRT(V78^2-V80^2)))</f>
        <v/>
      </c>
      <c r="W81" s="210"/>
      <c r="X81" s="215" t="str">
        <f>IF(Y80="","",AQ78*Z80*AR78*((1+0.00393*(F81-20))/1.2751)/Y80)</f>
        <v/>
      </c>
      <c r="Y81" s="216"/>
      <c r="Z81" s="217" t="str">
        <f>IF(Y80="","",(BA81/50)*AQ78*Z80*AR79/Y80)</f>
        <v/>
      </c>
      <c r="AA81" s="218"/>
      <c r="AB81" s="219" t="str">
        <f>IF(AC80="","",AQ78*AD80*AR80*((1+0.00393*(F81-20))/1.2751)/AC80)</f>
        <v/>
      </c>
      <c r="AC81" s="216"/>
      <c r="AD81" s="217" t="str">
        <f>IF(AC80="","",(BA81/50)*AQ78*AD80*AR81/AC80)</f>
        <v/>
      </c>
      <c r="AE81" s="242"/>
      <c r="AF81" s="150" t="str">
        <f>IF(AND(AX78&lt;&gt;"",D78=""),AX78,"")</f>
        <v/>
      </c>
      <c r="AG81" s="243" t="str">
        <f>IF(AP80="","",AP80)</f>
        <v/>
      </c>
      <c r="AH81" s="244"/>
      <c r="AI81" s="151" t="str">
        <f>IF(AP81="","",AP81)</f>
        <v/>
      </c>
      <c r="AJ81" s="212"/>
      <c r="AK81" s="214"/>
      <c r="AL81" s="152"/>
      <c r="AM81" s="59"/>
      <c r="AN81" s="153" t="b">
        <f>IF(BA78="","",IF(AND(BA78=3,F80=50,L78="油入自冷"),VLOOKUP(L80,変３,3,FALSE),IF(AND(BA78=3,F80=50,L78="モ－ルド絶縁"),VLOOKUP(L80,変３,8,FALSE),IF(AND(BA78=3,F80=60,L78="油入自冷"),VLOOKUP(L80,変３,13,FALSE),IF(AND(BA78=3,F80=60,L78="モ－ルド絶縁"),VLOOKUP(L80,変３,18,FALSE),FALSE)))))</f>
        <v>0</v>
      </c>
      <c r="AO81" s="153" t="str">
        <f>IF(AND(L14="",N(AY79)&lt;10^29),AY79,"")</f>
        <v/>
      </c>
      <c r="AP81" s="154" t="str">
        <f>IF(V78="","",IF(AND(N(V81)=0,N(AP79)=0),0,(AQ81-AP79*(AQ80^2+AQ81^2))/((AQ80*AP79)^2+(AP79*AQ81-1)^2)))</f>
        <v/>
      </c>
      <c r="AQ81" s="155">
        <f>IF(N(V81)=0,10^30,V81)</f>
        <v>1E+30</v>
      </c>
      <c r="AR81" s="153" t="str">
        <f>IF(AB78="","",IF(AB78="600V IV",VLOOKUP(AB80,ＩＶ,3,FALSE),IF(AB78="600V CV-T",VLOOKUP(AB80,ＣＶＴ,3,FALSE),IF(OR(AB78="600V CV-1C",AB78="600V CV-2C",AB78="600V CV-3C",AB78="600V CV-4C"),VLOOKUP(AB80,ＣＶ２３Ｃ,3,FALSE),VLOOKUP(AB80,ＣＵＳＥＲ,3,FALSE)))))</f>
        <v/>
      </c>
      <c r="AS81" s="155" t="str">
        <f>IF(OR(AND(AS142="",AS143=""),AND(D78="",D142&lt;&gt;"")),AS79,(AS79*(AT142^2+AT143^2)+AT143*(AS78^2+AS79^2))/((AS78+AT142)^2+(AS79+AT143)^2))</f>
        <v/>
      </c>
      <c r="AT81" s="156" t="str">
        <f>IF(Z81="",AS81,N(AS81)+(Z81/1000))</f>
        <v/>
      </c>
      <c r="AU81" s="156" t="str">
        <f>IF(AU79="","",(AT81*(AU78^2+AU79^2)+AU79*(AT80^2+AT81^2))/((AT80+AU78)^2+(AT81+AU79)^2))</f>
        <v/>
      </c>
      <c r="AV81" s="156">
        <f>AV17+AV80</f>
        <v>2</v>
      </c>
      <c r="AW81" s="155" t="str">
        <f>IF(AO81="","",AW79+AO81)</f>
        <v/>
      </c>
      <c r="AX81" s="157"/>
      <c r="AY81" s="140">
        <f>IF(L80="",10^30,SQRT(BA78)*(BA80^2)*(N(AN79)+N(AN81)+N(AO79)+N(AV79))/(100000*L80*M78))</f>
        <v>1E+30</v>
      </c>
      <c r="AZ81" s="141"/>
      <c r="BA81" s="114">
        <f>IF(AND(F80="",SUM(S78:S81)&lt;&gt;0),BA17,F80)</f>
        <v>0</v>
      </c>
      <c r="BB81" s="115">
        <f>IF(AND(BA78=3,S81&lt;&gt;""),1,0)</f>
        <v>0</v>
      </c>
      <c r="BC81" s="52"/>
      <c r="BD81" s="52"/>
      <c r="BH81" s="162"/>
      <c r="BI81" s="162"/>
      <c r="BJ81" s="4"/>
      <c r="BK81" s="4"/>
    </row>
    <row r="82" spans="1:63" ht="15" customHeight="1" x14ac:dyDescent="0.15">
      <c r="A82" s="159"/>
      <c r="B82" s="159"/>
      <c r="C82" s="245" t="str">
        <f>IF(BH82=1,"●","・")</f>
        <v>・</v>
      </c>
      <c r="D82" s="425"/>
      <c r="E82" s="447"/>
      <c r="F82" s="427"/>
      <c r="G82" s="240" t="str">
        <f>IF(F82="","","φ")</f>
        <v/>
      </c>
      <c r="H82" s="428"/>
      <c r="I82" s="240" t="str">
        <f>IF(H82="","","W")</f>
        <v/>
      </c>
      <c r="J82" s="428"/>
      <c r="K82" s="246" t="str">
        <f>IF(J82="","","V")</f>
        <v/>
      </c>
      <c r="L82" s="429"/>
      <c r="M82" s="430"/>
      <c r="N82" s="431"/>
      <c r="O82" s="164"/>
      <c r="P82" s="194"/>
      <c r="Q82" s="165"/>
      <c r="R82" s="166"/>
      <c r="S82" s="167" t="str">
        <f>IF(R82="","",IF(Q82="",P82/R82,P82/(Q82*R82)))</f>
        <v/>
      </c>
      <c r="T82" s="168"/>
      <c r="U82" s="169" t="str">
        <f>IF(OR(BA84="",S82=""),"",S82*1000*T82/(SQRT(BA82)*BA84))</f>
        <v/>
      </c>
      <c r="V82" s="236" t="str">
        <f>IF(AND(N(U82)=0,N(U83)=0,N(U84)=0,N(U85)=0),"",BA84/(SUM(U82:U85)))</f>
        <v/>
      </c>
      <c r="W82" s="220"/>
      <c r="X82" s="222"/>
      <c r="Y82" s="223"/>
      <c r="Z82" s="224"/>
      <c r="AA82" s="228"/>
      <c r="AB82" s="230"/>
      <c r="AC82" s="223"/>
      <c r="AD82" s="224"/>
      <c r="AE82" s="232"/>
      <c r="AF82" s="104" t="str">
        <f>IF(OR(AND(AF78="",N(BA80)=0,BA84&lt;&gt;0),D82&lt;&gt;""),AX84/AQ83,"")</f>
        <v/>
      </c>
      <c r="AG82" s="234" t="str">
        <f>IF(BA84=0,"",IF(AD84="",AX82,IF(AND(D82&lt;&gt;"",AU82=""),AX84*SQRT(AP84^2+AP85^2)/SQRT(AS82^2+AS83^2)/AQ83,AX82*SQRT(AP84^2+AP85^2)/SQRT(AS82^2+AS83^2))))</f>
        <v/>
      </c>
      <c r="AH82" s="235"/>
      <c r="AI82" s="105" t="str">
        <f>IF(AG82="","",IF(N(U82)&lt;0,-AX82*AQ83/SQRT(AS82^2+AS83^2),AX82*AQ83/SQRT(AS82^2+AS83^2)))</f>
        <v/>
      </c>
      <c r="AJ82" s="201"/>
      <c r="AK82" s="202"/>
      <c r="AL82" s="106"/>
      <c r="AM82" s="59"/>
      <c r="AN82" s="107" t="b">
        <f>IF(BA82="","",IF(AND(BA82=1,F84=50,L82="油入自冷"),VLOOKUP(L84,変１,2,FALSE),IF(AND(BA82=1,F84=50,L82="モ－ルド絶縁"),VLOOKUP(L84,変１,7,FALSE),IF(AND(BA82=1,F84=60,L82="油入自冷"),VLOOKUP(L84,変１,12,FALSE),IF(AND(BA82=1,F84=60,L82="モ－ルド絶縁"),VLOOKUP(L84,変１,17,FALSE),FALSE)))))</f>
        <v>0</v>
      </c>
      <c r="AO82" s="107">
        <f>IF(ISNA(VLOOKUP(L84,変ＵＳＥＲ,2,FALSE)),0,VLOOKUP(L84,変ＵＳＥＲ,2,FALSE))</f>
        <v>0</v>
      </c>
      <c r="AP82" s="108">
        <f>IF(N82="",0,N82*1000/BA84^2/SQRT(BA82))</f>
        <v>0</v>
      </c>
      <c r="AQ82" s="107" t="b">
        <f>IF(BA82=1,2,IF(BA82=3,SQRT(3),FALSE))</f>
        <v>0</v>
      </c>
      <c r="AR82" s="109" t="str">
        <f>IF(X82="","",IF(X82="600V IV",VLOOKUP(X84,ＩＶ,2,FALSE),IF(X82="600V CV-T",VLOOKUP(X84,ＣＶＴ,2,FALSE),IF(OR(X82="600V CV-1C",X82="600V CV-2C",X82="600V CV-3C",X82="600V CV-4C"),VLOOKUP(X84,ＣＶ２３Ｃ,2,FALSE),VLOOKUP(X84,ＣＵＳＥＲ,2,FALSE)))))</f>
        <v/>
      </c>
      <c r="AS82" s="107" t="str">
        <f>IF(AB85="",AP84,AP84+(AB85/1000))</f>
        <v/>
      </c>
      <c r="AT82" s="110" t="str">
        <f>IF(AU84="",AT84,AU84)</f>
        <v/>
      </c>
      <c r="AU82" s="110" t="str">
        <f>IF(D82="","",IF(AND(D146="",D150&lt;&gt;"",AV85=AV153),AT150,IF(AND(D146="",D150="",D154&lt;&gt;"",AV149=AV157),AT154,IF(AND(D146="",D150="",D154="",D158&lt;&gt;"",AV153=AV161),AT158,IF(AND(D146="",D150="",D154="",D158="",D162&lt;&gt;"",AV157=AV165),AT162,IF(AND(D146="",D150="",D154="",D158="",D162="",D166&lt;&gt;"",AV161=AV169),AT166,IF(AND(D146="",D150="",D154="",D158="",D162="",D166="",D170&lt;&gt;"",AV165=AV173),AT170,"")))))))</f>
        <v/>
      </c>
      <c r="AV82" s="110" t="str">
        <f>IF(L82="発電機",IF(ISNA(VLOOKUP(L84,ＡＣＧ,2,FALSE)),0,VLOOKUP(L84,ＡＣＧ,2,FALSE)),"")</f>
        <v/>
      </c>
      <c r="AW82" s="111" t="str">
        <f>IF(AT82="","",AT82/((AT82*AP82)^2+(AT83*AP82-1)^2))</f>
        <v/>
      </c>
      <c r="AX82" s="112" t="str">
        <f>IF(BA84=0,"",IF(OR(AX78="",AF82&lt;&gt;""),AF82*SQRT(AS84^2+AS85^2)/SQRT(AT84^2+AT85^2),AX78*SQRT(AS84^2+AS85^2)/SQRT(AT84^2+AT85^2)))</f>
        <v/>
      </c>
      <c r="AY82" s="113">
        <f>IF(N(AY84)=10^30,10^30,IF(N(AY148)=10^30,(N(AY84)*(N(AY148)^2+N(AY149)^2)+N(AY148)*(N(AY84)^2+N(AY85)^2))/((N(AY84)+N(AY148))^2+(N(AY85)+N(AY149))^2),(N(AY84)*(N(AY146)^2+N(AY147)^2)+N(AY146)*(N(AY84)^2+N(AY85)^2))/((N(AY84)+N(AY146))^2+(N(AY85)+N(AY147))^2)))</f>
        <v>1E+30</v>
      </c>
      <c r="AZ82" s="52"/>
      <c r="BA82" s="114">
        <f>IF(AND(F82="",SUM(S82:S85)&lt;&gt;0),BA78,F82)</f>
        <v>0</v>
      </c>
      <c r="BB82" s="115">
        <f>IF(AND(BA82=3,S82&lt;&gt;""),1,0)</f>
        <v>0</v>
      </c>
      <c r="BC82" s="52"/>
      <c r="BD82" s="52"/>
      <c r="BH82" s="162">
        <f>IF(OR(E82="",F85="",AND(OR(P82="",Q82="",R82="",T82=""),OR(P83="",Q83="",R83="",T83=""),OR(P84="",Q84="",R84="",T84=""),OR(P85="",Q85="",R85="",T85="")),AND(OR(X82="",X84="",Y84="",Z84=""),OR(AB82="",AB84="",AC84="",AD84=""))),0,1)</f>
        <v>0</v>
      </c>
      <c r="BI82" s="162">
        <f>BH82+BI78</f>
        <v>4</v>
      </c>
      <c r="BJ82" s="4"/>
      <c r="BK82" s="4"/>
    </row>
    <row r="83" spans="1:63" ht="15" customHeight="1" x14ac:dyDescent="0.15">
      <c r="A83" s="159"/>
      <c r="B83" s="159"/>
      <c r="C83" s="245"/>
      <c r="D83" s="432"/>
      <c r="E83" s="448"/>
      <c r="F83" s="434"/>
      <c r="G83" s="241"/>
      <c r="H83" s="435"/>
      <c r="I83" s="241"/>
      <c r="J83" s="435"/>
      <c r="K83" s="247"/>
      <c r="L83" s="436"/>
      <c r="M83" s="170" t="str">
        <f>IF(L82="発電機",SQRT(AV82^2+AV83^2),IF(L84="","",IF(OR(L82="油入自冷",L82="モ－ルド絶縁"),IF(BA82=1,SQRT(AN82^2+AN83^2),IF(BA82=3,SQRT(AN84^2+AN85^2))),SQRT(AO82^2+AO83^2))))</f>
        <v/>
      </c>
      <c r="N83" s="437"/>
      <c r="O83" s="171"/>
      <c r="P83" s="195"/>
      <c r="Q83" s="172"/>
      <c r="R83" s="173"/>
      <c r="S83" s="174" t="str">
        <f t="shared" si="3"/>
        <v/>
      </c>
      <c r="T83" s="175"/>
      <c r="U83" s="176" t="str">
        <f>IF(OR(BA84="",S83=""),"",S83*1000*T83/(SQRT(BA82)*BA84))</f>
        <v/>
      </c>
      <c r="V83" s="237"/>
      <c r="W83" s="221"/>
      <c r="X83" s="225"/>
      <c r="Y83" s="226"/>
      <c r="Z83" s="227"/>
      <c r="AA83" s="229"/>
      <c r="AB83" s="231"/>
      <c r="AC83" s="226"/>
      <c r="AD83" s="227"/>
      <c r="AE83" s="233"/>
      <c r="AF83" s="124" t="str">
        <f>IF(OR(AF82="",AG78&lt;&gt;""),"",AF82*AQ83/SQRT(AT82^2+AT83^2))</f>
        <v/>
      </c>
      <c r="AG83" s="205" t="str">
        <f>IF(AG82="","",100*AG82*AQ83/BA84)</f>
        <v/>
      </c>
      <c r="AH83" s="206"/>
      <c r="AI83" s="207" t="str">
        <f>IF(BA84=0,"",IF(AI78="",AX84/SQRT(AT82^2+AT83^2),IF(AI86="","",IF(AT82&lt;0,-AX82*AQ79/SQRT(AT82^2+AT83^2),AX82*AQ79/SQRT(AT82^2+AT83^2)))))</f>
        <v/>
      </c>
      <c r="AJ83" s="203"/>
      <c r="AK83" s="204"/>
      <c r="AL83" s="125"/>
      <c r="AM83" s="59"/>
      <c r="AN83" s="107" t="b">
        <f>IF(BA82="","",IF(AND(BA82=1,F84=50,L82="油入自冷"),VLOOKUP(L84,変１,3,FALSE),IF(AND(BA82=1,F84=50,L82="モ－ルド絶縁"),VLOOKUP(L84,変１,8,FALSE),IF(AND(BA82=1,F84=60,L82="油入自冷"),VLOOKUP(L84,変１,13,FALSE),IF(AND(BA82=1,F84=60,L82="モ－ルド絶縁"),VLOOKUP(L84,変１,18,FALSE),FALSE)))))</f>
        <v>0</v>
      </c>
      <c r="AO83" s="107">
        <f>IF(ISNA(VLOOKUP(L84,変ＵＳＥＲ,3,FALSE)),0,VLOOKUP(L84,変ＵＳＥＲ,3,FALSE)*BA85/50)</f>
        <v>0</v>
      </c>
      <c r="AP83" s="108">
        <f>IF(W82="",0,W82*1000/BA84^2/SQRT(BA82))</f>
        <v>0</v>
      </c>
      <c r="AQ83" s="107">
        <f>IF(AND(BA82=1,BA83=2),1,IF(AND(BA82=3,BA83=3),1,IF(AND(BA82=1,BA83=3),2,IF(AND(BA82=3,BA83=4)*OR(BB82=1,BB83=1,BB84=1,BB85=1),1,SQRT(3)))))</f>
        <v>1.7320508075688772</v>
      </c>
      <c r="AR83" s="109" t="str">
        <f>IF(X82="","",IF(X82="600V IV",VLOOKUP(X84,ＩＶ,3,FALSE),IF(X82="600V CV-T",VLOOKUP(X84,ＣＶＴ,3,FALSE),IF(OR(X82="600V CV-1C",X82="600V CV-2C",X82="600V CV-3C",X82="600V CV-4C"),VLOOKUP(X84,ＣＶ２３Ｃ,3,FALSE),VLOOKUP(X84,ＣＵＳＥＲ,3,FALSE)))))</f>
        <v/>
      </c>
      <c r="AS83" s="107" t="str">
        <f>IF(AD85="",AP85,AP85+(AD85/1000))</f>
        <v/>
      </c>
      <c r="AT83" s="110" t="str">
        <f>IF(AU85="",AT85,AU85)</f>
        <v/>
      </c>
      <c r="AU83" s="110" t="str">
        <f>IF(D82="","",IF(AND(D146="",D150&lt;&gt;"",AV85=AV153),AT151,IF(AND(D146="",D150="",D154&lt;&gt;"",AV149=AV157),AT155,IF(AND(D146="",D150="",D154="",D158&lt;&gt;"",AV153=AV161),AT159,IF(AND(D146="",D150="",D154="",D158="",D162&lt;&gt;"",AV157=AV165),AT163,IF(AND(D146="",D150="",D154="",D158="",D162="",D166&lt;&gt;"",AV161=AV169),AT167,IF(AND(D146="",D150="",D154="",D158="",D162="",D166="",D170&lt;&gt;"",AV165=AV173),AT171,"")))))))</f>
        <v/>
      </c>
      <c r="AV83" s="109" t="str">
        <f>IF(L82="発電機",IF(ISNA(VLOOKUP(L84,ＡＣＧ,3,FALSE)),0,VLOOKUP(L84,ＡＣＧ,3,FALSE)*BA85/50),"")</f>
        <v/>
      </c>
      <c r="AW83" s="111" t="str">
        <f>IF(AT83="","",(AT83-AP82*(AT82^2+AT83^2))/((AT82*AP82)^2+(AP82*AT83-1)^2))</f>
        <v/>
      </c>
      <c r="AX83" s="112"/>
      <c r="AY83" s="113">
        <f>IF(N(AY85)=10^30,10^30,IF(N(AY149)=10^30,(N(AY85)*(N(AY148)^2+N(AY149)^2)+N(AY149)*(N(AY84)^2+N(AY85)^2))/((N(AY84)+N(AY148))^2+(N(AY85)+N(AY149))^2),(N(AY85)*(N(AY146)^2+N(AY147)^2)+N(AY147)*(N(AY84)^2+N(AY85)^2))/((N(AY84)+N(AY146))^2+(N(AY85)+N(AY147))^2)))</f>
        <v>1E+30</v>
      </c>
      <c r="AZ83" s="52"/>
      <c r="BA83" s="114">
        <f>IF(AND(H82="",SUM(S82:S85)&lt;&gt;0),BA79,H82)</f>
        <v>0</v>
      </c>
      <c r="BB83" s="115">
        <f>IF(AND(BA82=3,S83&lt;&gt;""),1,0)</f>
        <v>0</v>
      </c>
      <c r="BC83" s="52"/>
      <c r="BD83" s="52"/>
      <c r="BH83" s="162"/>
      <c r="BI83" s="162"/>
      <c r="BJ83" s="4"/>
      <c r="BK83" s="4"/>
    </row>
    <row r="84" spans="1:63" ht="15" customHeight="1" x14ac:dyDescent="0.15">
      <c r="A84" s="159"/>
      <c r="B84" s="159"/>
      <c r="C84" s="245"/>
      <c r="D84" s="432"/>
      <c r="E84" s="448"/>
      <c r="F84" s="438"/>
      <c r="G84" s="438"/>
      <c r="H84" s="438"/>
      <c r="I84" s="438"/>
      <c r="J84" s="438"/>
      <c r="K84" s="439"/>
      <c r="L84" s="440"/>
      <c r="M84" s="441"/>
      <c r="N84" s="437"/>
      <c r="O84" s="171"/>
      <c r="P84" s="196"/>
      <c r="Q84" s="177"/>
      <c r="R84" s="173"/>
      <c r="S84" s="174" t="str">
        <f t="shared" si="3"/>
        <v/>
      </c>
      <c r="T84" s="175"/>
      <c r="U84" s="178" t="str">
        <f>IF(OR(BA84="",S84=""),"",S84*1000*T84/(SQRT(BA82)*BA84))</f>
        <v/>
      </c>
      <c r="V84" s="179" t="str">
        <f>IF(AND(N(U82)=0,N(U83)=0,N(U84)=0,N(U85)=0),"",V82*(P82*R82*T82+P83*R83*T83+P84*R84*T84+P85*R85*T85)/(P82*T82+P83*T83+P84*T84+P85*T85))</f>
        <v/>
      </c>
      <c r="W84" s="209" t="str">
        <f>IF(AND(N(AP84)=0,N(AP85)=0,N(AP83)=0),"",IF(AP85&gt;=0,COS(ATAN(AP85/AP84)),-COS(ATAN(AP85/AP84))))</f>
        <v/>
      </c>
      <c r="X84" s="180"/>
      <c r="Y84" s="181"/>
      <c r="Z84" s="182"/>
      <c r="AA84" s="183"/>
      <c r="AB84" s="184"/>
      <c r="AC84" s="181"/>
      <c r="AD84" s="182"/>
      <c r="AE84" s="185"/>
      <c r="AF84" s="136" t="str">
        <f>IF(OR(AF82="",AG78&lt;&gt;""),"",BA84/SQRT(AW84^2+AW85^2))</f>
        <v/>
      </c>
      <c r="AG84" s="205" t="str">
        <f>IF(AG82="","",100*((BA84/AQ83)-AG82)/(BA84/AQ83))</f>
        <v/>
      </c>
      <c r="AH84" s="206"/>
      <c r="AI84" s="208"/>
      <c r="AJ84" s="211"/>
      <c r="AK84" s="213"/>
      <c r="AL84" s="137"/>
      <c r="AM84" s="59"/>
      <c r="AN84" s="138" t="b">
        <f>IF(BA82="","",IF(AND(BA82=3,F84=50,L82="油入自冷"),VLOOKUP(L84,変３,2,FALSE),IF(AND(BA82=3,F84=50,L82="モ－ルド絶縁"),VLOOKUP(L84,変３,7,FALSE),IF(AND(BA82=3,F84=60,L82="油入自冷"),VLOOKUP(L84,変３,12,FALSE),IF(AND(BA82=3,F84=60,L82="モ－ルド絶縁"),VLOOKUP(L84,変３,17,FALSE),FALSE)))))</f>
        <v>0</v>
      </c>
      <c r="AO84" s="109" t="str">
        <f>IF(AND(L78="",N(AY82)&lt;10^29),AY82,"")</f>
        <v/>
      </c>
      <c r="AP84" s="139" t="str">
        <f>IF(V82="","",IF(AND(N(V84)=0,N(AP83)=0),"",AQ84/((AQ84*AP83)^2+(AP83*AQ85-1)^2)))</f>
        <v/>
      </c>
      <c r="AQ84" s="107">
        <f>IF(N(V84)=0,10^30,V84)</f>
        <v>1E+30</v>
      </c>
      <c r="AR84" s="109" t="str">
        <f>IF(AB82="","",IF(AB82="600V IV",VLOOKUP(AB84,ＩＶ,2,FALSE),IF(AB82="600V CV-T",VLOOKUP(AB84,ＣＶＴ,2,FALSE),IF(OR(AB82="600V CV-1C",AB82="600V CV-2C",AB82="600V CV-3C",AB82="600V CV-4C"),VLOOKUP(AB84,ＣＶ２３Ｃ,2,FALSE),VLOOKUP(AB84,ＣＵＳＥＲ,2,FALSE)))))</f>
        <v/>
      </c>
      <c r="AS84" s="107" t="str">
        <f>IF(OR(AND(AS146="",AS147=""),AND(D82="",D146&lt;&gt;"")),AS82,(AS82*(AT146^2+AT147^2)+AT146*(AS82^2+AS83^2))/((AS82+AT146)^2+(AS83+AT147)^2))</f>
        <v/>
      </c>
      <c r="AT84" s="110" t="str">
        <f>IF(X85="",AS84,N(AS84)+(X85/1000))</f>
        <v/>
      </c>
      <c r="AU84" s="110" t="str">
        <f>IF(AU82="","",(AT84*(AU82^2+AU83^2)+AU82*(AT84^2+AT85^2))/((AT84+AU82)^2+(AT85+AU83)^2))</f>
        <v/>
      </c>
      <c r="AV84" s="110">
        <f>IF(BA84=0,1,0)</f>
        <v>1</v>
      </c>
      <c r="AW84" s="111" t="str">
        <f>IF(AO84="","",AW82+AO84)</f>
        <v/>
      </c>
      <c r="AX84" s="112" t="str">
        <f>IF(AND(AX80="",AW84&lt;&gt;""),BA84*SQRT(AW82^2+AW83^2)/SQRT(AW84^2+AW85^2),IF(BA84&lt;&gt;0,AX80,""))</f>
        <v/>
      </c>
      <c r="AY84" s="140">
        <f>IF(L84="",10^30,SQRT(BA82)*(BA84^2)*(N(AN82)+N(AN84)+N(AO82)+N(AV82))/(100000*L84*M82))</f>
        <v>1E+30</v>
      </c>
      <c r="AZ84" s="141"/>
      <c r="BA84" s="114">
        <f>IF(AND(J82="",SUM(S82:S85)&lt;&gt;0),BA80,J82)</f>
        <v>0</v>
      </c>
      <c r="BB84" s="115">
        <f>IF(AND(BA82=3,S84&lt;&gt;""),1,0)</f>
        <v>0</v>
      </c>
      <c r="BC84" s="52"/>
      <c r="BD84" s="52"/>
      <c r="BH84" s="162"/>
      <c r="BI84" s="162"/>
      <c r="BJ84" s="4"/>
      <c r="BK84" s="4"/>
    </row>
    <row r="85" spans="1:63" ht="15" customHeight="1" x14ac:dyDescent="0.15">
      <c r="A85" s="159"/>
      <c r="B85" s="159"/>
      <c r="C85" s="245"/>
      <c r="D85" s="442"/>
      <c r="E85" s="449"/>
      <c r="F85" s="444"/>
      <c r="G85" s="444"/>
      <c r="H85" s="444"/>
      <c r="I85" s="444"/>
      <c r="J85" s="444"/>
      <c r="K85" s="445"/>
      <c r="L85" s="238" t="str">
        <f>IF(M82="","",L84*1000*M82/(SQRT(BA82)*BA84))</f>
        <v/>
      </c>
      <c r="M85" s="239"/>
      <c r="N85" s="446"/>
      <c r="O85" s="186"/>
      <c r="P85" s="197"/>
      <c r="Q85" s="187"/>
      <c r="R85" s="188"/>
      <c r="S85" s="189" t="str">
        <f t="shared" si="3"/>
        <v/>
      </c>
      <c r="T85" s="190"/>
      <c r="U85" s="191" t="str">
        <f>IF(OR(BA84="",S85=""),"",S85*1000*T85/(SQRT(BA82)*BA84))</f>
        <v/>
      </c>
      <c r="V85" s="192" t="str">
        <f>IF(AND(N(U82)=0,N(U83)=0,N(U84)=0,N(U85)=0),"",IF(V82&gt;=0,SQRT(ABS(V82^2-V84^2)),-SQRT(V82^2-V84^2)))</f>
        <v/>
      </c>
      <c r="W85" s="210"/>
      <c r="X85" s="215" t="str">
        <f>IF(Y84="","",AQ82*Z84*AR82*((1+0.00393*(F85-20))/1.2751)/Y84)</f>
        <v/>
      </c>
      <c r="Y85" s="216"/>
      <c r="Z85" s="217" t="str">
        <f>IF(Y84="","",(BA85/50)*AQ82*Z84*AR83/Y84)</f>
        <v/>
      </c>
      <c r="AA85" s="218"/>
      <c r="AB85" s="219" t="str">
        <f>IF(AC84="","",AQ82*AD84*AR84*((1+0.00393*(F85-20))/1.2751)/AC84)</f>
        <v/>
      </c>
      <c r="AC85" s="216"/>
      <c r="AD85" s="217" t="str">
        <f>IF(AC84="","",(BA85/50)*AQ82*AD84*AR85/AC84)</f>
        <v/>
      </c>
      <c r="AE85" s="242"/>
      <c r="AF85" s="150" t="str">
        <f>IF(AND(AX82&lt;&gt;"",D82=""),AX82,"")</f>
        <v/>
      </c>
      <c r="AG85" s="243" t="str">
        <f>IF(AP84="","",AP84)</f>
        <v/>
      </c>
      <c r="AH85" s="244"/>
      <c r="AI85" s="151" t="str">
        <f>IF(AP85="","",AP85)</f>
        <v/>
      </c>
      <c r="AJ85" s="212"/>
      <c r="AK85" s="214"/>
      <c r="AL85" s="152"/>
      <c r="AM85" s="59"/>
      <c r="AN85" s="153" t="b">
        <f>IF(BA82="","",IF(AND(BA82=3,F84=50,L82="油入自冷"),VLOOKUP(L84,変３,3,FALSE),IF(AND(BA82=3,F84=50,L82="モ－ルド絶縁"),VLOOKUP(L84,変３,8,FALSE),IF(AND(BA82=3,F84=60,L82="油入自冷"),VLOOKUP(L84,変３,13,FALSE),IF(AND(BA82=3,F84=60,L82="モ－ルド絶縁"),VLOOKUP(L84,変３,18,FALSE),FALSE)))))</f>
        <v>0</v>
      </c>
      <c r="AO85" s="153" t="str">
        <f>IF(AND(L78="",N(AY83)&lt;10^29),AY83,"")</f>
        <v/>
      </c>
      <c r="AP85" s="154" t="str">
        <f>IF(V82="","",IF(AND(N(V85)=0,N(AP83)=0),0,(AQ85-AP83*(AQ84^2+AQ85^2))/((AQ84*AP83)^2+(AP83*AQ85-1)^2)))</f>
        <v/>
      </c>
      <c r="AQ85" s="155">
        <f>IF(N(V85)=0,10^30,V85)</f>
        <v>1E+30</v>
      </c>
      <c r="AR85" s="153" t="str">
        <f>IF(AB82="","",IF(AB82="600V IV",VLOOKUP(AB84,ＩＶ,3,FALSE),IF(AB82="600V CV-T",VLOOKUP(AB84,ＣＶＴ,3,FALSE),IF(OR(AB82="600V CV-1C",AB82="600V CV-2C",AB82="600V CV-3C",AB82="600V CV-4C"),VLOOKUP(AB84,ＣＶ２３Ｃ,3,FALSE),VLOOKUP(AB84,ＣＵＳＥＲ,3,FALSE)))))</f>
        <v/>
      </c>
      <c r="AS85" s="155" t="str">
        <f>IF(OR(AND(AS146="",AS147=""),AND(D82="",D146&lt;&gt;"")),AS83,(AS83*(AT146^2+AT147^2)+AT147*(AS82^2+AS83^2))/((AS82+AT146)^2+(AS83+AT147)^2))</f>
        <v/>
      </c>
      <c r="AT85" s="156" t="str">
        <f>IF(Z85="",AS85,N(AS85)+(Z85/1000))</f>
        <v/>
      </c>
      <c r="AU85" s="156" t="str">
        <f>IF(AU83="","",(AT85*(AU82^2+AU83^2)+AU83*(AT84^2+AT85^2))/((AT84+AU82)^2+(AT85+AU83)^2))</f>
        <v/>
      </c>
      <c r="AV85" s="156">
        <f>AV81+AV84</f>
        <v>3</v>
      </c>
      <c r="AW85" s="155" t="str">
        <f>IF(AO85="","",AW83+AO85)</f>
        <v/>
      </c>
      <c r="AX85" s="157"/>
      <c r="AY85" s="140">
        <f>IF(L84="",10^30,SQRT(BA82)*(BA84^2)*(N(AN83)+N(AN85)+N(AO83)+N(AV83))/(100000*L84*M82))</f>
        <v>1E+30</v>
      </c>
      <c r="AZ85" s="141"/>
      <c r="BA85" s="114">
        <f>IF(AND(F84="",SUM(S82:S85)&lt;&gt;0),BA81,F84)</f>
        <v>0</v>
      </c>
      <c r="BB85" s="115">
        <f>IF(AND(BA82=3,S85&lt;&gt;""),1,0)</f>
        <v>0</v>
      </c>
      <c r="BC85" s="52"/>
      <c r="BD85" s="52"/>
      <c r="BH85" s="162"/>
      <c r="BI85" s="162"/>
      <c r="BJ85" s="4"/>
      <c r="BK85" s="4"/>
    </row>
    <row r="86" spans="1:63" ht="15" customHeight="1" x14ac:dyDescent="0.15">
      <c r="A86" s="159"/>
      <c r="B86" s="159"/>
      <c r="C86" s="245" t="str">
        <f>IF(BH86=1,"●","・")</f>
        <v>・</v>
      </c>
      <c r="D86" s="425"/>
      <c r="E86" s="447"/>
      <c r="F86" s="427"/>
      <c r="G86" s="240" t="str">
        <f>IF(F86="","","φ")</f>
        <v/>
      </c>
      <c r="H86" s="428"/>
      <c r="I86" s="240" t="str">
        <f>IF(H86="","","W")</f>
        <v/>
      </c>
      <c r="J86" s="428"/>
      <c r="K86" s="246" t="str">
        <f>IF(J86="","","V")</f>
        <v/>
      </c>
      <c r="L86" s="429"/>
      <c r="M86" s="430"/>
      <c r="N86" s="431"/>
      <c r="O86" s="164"/>
      <c r="P86" s="194"/>
      <c r="Q86" s="165"/>
      <c r="R86" s="166"/>
      <c r="S86" s="167" t="str">
        <f>IF(R86="","",IF(Q86="",P86/R86,P86/(Q86*R86)))</f>
        <v/>
      </c>
      <c r="T86" s="168"/>
      <c r="U86" s="169" t="str">
        <f>IF(OR(BA88="",S86=""),"",S86*1000*T86/(SQRT(BA86)*BA88))</f>
        <v/>
      </c>
      <c r="V86" s="236" t="str">
        <f>IF(AND(N(U86)=0,N(U87)=0,N(U88)=0,N(U89)=0),"",BA88/(SUM(U86:U89)))</f>
        <v/>
      </c>
      <c r="W86" s="220"/>
      <c r="X86" s="222"/>
      <c r="Y86" s="223"/>
      <c r="Z86" s="224"/>
      <c r="AA86" s="228"/>
      <c r="AB86" s="230"/>
      <c r="AC86" s="223"/>
      <c r="AD86" s="224"/>
      <c r="AE86" s="232"/>
      <c r="AF86" s="104" t="str">
        <f>IF(OR(AND(AF82="",N(BA84)=0,BA88&lt;&gt;0),D86&lt;&gt;""),AX88/AQ87,"")</f>
        <v/>
      </c>
      <c r="AG86" s="234" t="str">
        <f>IF(BA88=0,"",IF(AD88="",AX86,IF(AND(D86&lt;&gt;"",AU86=""),AX88*SQRT(AP88^2+AP89^2)/SQRT(AS86^2+AS87^2)/AQ87,AX86*SQRT(AP88^2+AP89^2)/SQRT(AS86^2+AS87^2))))</f>
        <v/>
      </c>
      <c r="AH86" s="235"/>
      <c r="AI86" s="105" t="str">
        <f>IF(AG86="","",IF(N(U86)&lt;0,-AX86*AQ87/SQRT(AS86^2+AS87^2),AX86*AQ87/SQRT(AS86^2+AS87^2)))</f>
        <v/>
      </c>
      <c r="AJ86" s="201"/>
      <c r="AK86" s="202"/>
      <c r="AL86" s="106"/>
      <c r="AM86" s="59"/>
      <c r="AN86" s="107" t="b">
        <f>IF(BA86="","",IF(AND(BA86=1,F88=50,L86="油入自冷"),VLOOKUP(L88,変１,2,FALSE),IF(AND(BA86=1,F88=50,L86="モ－ルド絶縁"),VLOOKUP(L88,変１,7,FALSE),IF(AND(BA86=1,F88=60,L86="油入自冷"),VLOOKUP(L88,変１,12,FALSE),IF(AND(BA86=1,F88=60,L86="モ－ルド絶縁"),VLOOKUP(L88,変１,17,FALSE),FALSE)))))</f>
        <v>0</v>
      </c>
      <c r="AO86" s="107">
        <f>IF(ISNA(VLOOKUP(L88,変ＵＳＥＲ,2,FALSE)),0,VLOOKUP(L88,変ＵＳＥＲ,2,FALSE))</f>
        <v>0</v>
      </c>
      <c r="AP86" s="108">
        <f>IF(N86="",0,N86*1000/BA88^2/SQRT(BA86))</f>
        <v>0</v>
      </c>
      <c r="AQ86" s="107" t="b">
        <f>IF(BA86=1,2,IF(BA86=3,SQRT(3),FALSE))</f>
        <v>0</v>
      </c>
      <c r="AR86" s="109" t="str">
        <f>IF(X86="","",IF(X86="600V IV",VLOOKUP(X88,ＩＶ,2,FALSE),IF(X86="600V CV-T",VLOOKUP(X88,ＣＶＴ,2,FALSE),IF(OR(X86="600V CV-1C",X86="600V CV-2C",X86="600V CV-3C",X86="600V CV-4C"),VLOOKUP(X88,ＣＶ２３Ｃ,2,FALSE),VLOOKUP(X88,ＣＵＳＥＲ,2,FALSE)))))</f>
        <v/>
      </c>
      <c r="AS86" s="107" t="str">
        <f>IF(AB89="",AP88,AP88+(AB89/1000))</f>
        <v/>
      </c>
      <c r="AT86" s="110" t="str">
        <f>IF(AU88="",AT88,AU88)</f>
        <v/>
      </c>
      <c r="AU86" s="110" t="str">
        <f>IF(D86="","",IF(AND(D150="",D154&lt;&gt;"",AV89=AV157),AT154,IF(AND(D150="",D154="",D158&lt;&gt;"",AV153=AV161),AT158,IF(AND(D150="",D154="",D158="",D162&lt;&gt;"",AV157=AV165),AT162,IF(AND(D150="",D154="",D158="",D162="",D166&lt;&gt;"",AV161=AV169),AT166,IF(AND(D150="",D154="",D158="",D162="",D166="",D170&lt;&gt;"",AV165=AV173),AT170,IF(AND(D150="",D154="",D158="",D162="",D166="",D170="",D174&lt;&gt;"",AV169=AV177),AT174,"")))))))</f>
        <v/>
      </c>
      <c r="AV86" s="110" t="str">
        <f>IF(L86="発電機",IF(ISNA(VLOOKUP(L88,ＡＣＧ,2,FALSE)),0,VLOOKUP(L88,ＡＣＧ,2,FALSE)),"")</f>
        <v/>
      </c>
      <c r="AW86" s="111" t="str">
        <f>IF(AT86="","",AT86/((AT86*AP86)^2+(AT87*AP86-1)^2))</f>
        <v/>
      </c>
      <c r="AX86" s="112" t="str">
        <f>IF(BA88=0,"",IF(OR(AX82="",AF86&lt;&gt;""),AF86*SQRT(AS88^2+AS89^2)/SQRT(AT88^2+AT89^2),AX82*SQRT(AS88^2+AS89^2)/SQRT(AT88^2+AT89^2)))</f>
        <v/>
      </c>
      <c r="AY86" s="113">
        <f>IF(N(AY88)=10^30,10^30,IF(N(AY152)=10^30,(N(AY88)*(N(AY152)^2+N(AY153)^2)+N(AY152)*(N(AY88)^2+N(AY89)^2))/((N(AY88)+N(AY152))^2+(N(AY89)+N(AY153))^2),(N(AY88)*(N(AY150)^2+N(AY151)^2)+N(AY150)*(N(AY88)^2+N(AY89)^2))/((N(AY88)+N(AY150))^2+(N(AY89)+N(AY151))^2)))</f>
        <v>1E+30</v>
      </c>
      <c r="AZ86" s="52"/>
      <c r="BA86" s="114">
        <f>IF(AND(F86="",SUM(S86:S89)&lt;&gt;0),BA82,F86)</f>
        <v>0</v>
      </c>
      <c r="BB86" s="115">
        <f>IF(AND(BA86=3,S86&lt;&gt;""),1,0)</f>
        <v>0</v>
      </c>
      <c r="BC86" s="52"/>
      <c r="BD86" s="52"/>
      <c r="BH86" s="162">
        <f>IF(OR(E86="",F89="",AND(OR(P86="",Q86="",R86="",T86=""),OR(P87="",Q87="",R87="",T87=""),OR(P88="",Q88="",R88="",T88=""),OR(P89="",Q89="",R89="",T89="")),AND(OR(X86="",X88="",Y88="",Z88=""),OR(AB86="",AB88="",AC88="",AD88=""))),0,1)</f>
        <v>0</v>
      </c>
      <c r="BI86" s="162">
        <f>BH86+BI82</f>
        <v>4</v>
      </c>
      <c r="BJ86" s="4"/>
      <c r="BK86" s="4"/>
    </row>
    <row r="87" spans="1:63" ht="15" customHeight="1" x14ac:dyDescent="0.15">
      <c r="A87" s="159"/>
      <c r="B87" s="159"/>
      <c r="C87" s="245"/>
      <c r="D87" s="432"/>
      <c r="E87" s="448"/>
      <c r="F87" s="434"/>
      <c r="G87" s="241"/>
      <c r="H87" s="435"/>
      <c r="I87" s="241"/>
      <c r="J87" s="435"/>
      <c r="K87" s="247"/>
      <c r="L87" s="436"/>
      <c r="M87" s="170" t="str">
        <f>IF(L86="発電機",SQRT(AV86^2+AV87^2),IF(L88="","",IF(OR(L86="油入自冷",L86="モ－ルド絶縁"),IF(BA86=1,SQRT(AN86^2+AN87^2),IF(BA86=3,SQRT(AN88^2+AN89^2))),SQRT(AO86^2+AO87^2))))</f>
        <v/>
      </c>
      <c r="N87" s="437"/>
      <c r="O87" s="171"/>
      <c r="P87" s="195"/>
      <c r="Q87" s="172"/>
      <c r="R87" s="173"/>
      <c r="S87" s="174" t="str">
        <f t="shared" si="3"/>
        <v/>
      </c>
      <c r="T87" s="175"/>
      <c r="U87" s="176" t="str">
        <f>IF(OR(BA88="",S87=""),"",S87*1000*T87/(SQRT(BA86)*BA88))</f>
        <v/>
      </c>
      <c r="V87" s="237"/>
      <c r="W87" s="221"/>
      <c r="X87" s="225"/>
      <c r="Y87" s="226"/>
      <c r="Z87" s="227"/>
      <c r="AA87" s="229"/>
      <c r="AB87" s="231"/>
      <c r="AC87" s="226"/>
      <c r="AD87" s="227"/>
      <c r="AE87" s="233"/>
      <c r="AF87" s="124" t="str">
        <f>IF(OR(AF86="",AG82&lt;&gt;""),"",AF86*AQ87/SQRT(AT86^2+AT87^2))</f>
        <v/>
      </c>
      <c r="AG87" s="205" t="str">
        <f>IF(AG86="","",100*AG86*AQ87/BA88)</f>
        <v/>
      </c>
      <c r="AH87" s="206"/>
      <c r="AI87" s="207" t="str">
        <f>IF(BA88=0,"",IF(AI82="",AX88/SQRT(AT86^2+AT87^2),IF(AI90="","",IF(AT86&lt;0,-AX86*AQ83/SQRT(AT86^2+AT87^2),AX86*AQ83/SQRT(AT86^2+AT87^2)))))</f>
        <v/>
      </c>
      <c r="AJ87" s="203"/>
      <c r="AK87" s="204"/>
      <c r="AL87" s="125"/>
      <c r="AM87" s="59"/>
      <c r="AN87" s="107" t="b">
        <f>IF(BA86="","",IF(AND(BA86=1,F88=50,L86="油入自冷"),VLOOKUP(L88,変１,3,FALSE),IF(AND(BA86=1,F88=50,L86="モ－ルド絶縁"),VLOOKUP(L88,変１,8,FALSE),IF(AND(BA86=1,F88=60,L86="油入自冷"),VLOOKUP(L88,変１,13,FALSE),IF(AND(BA86=1,F88=60,L86="モ－ルド絶縁"),VLOOKUP(L88,変１,18,FALSE),FALSE)))))</f>
        <v>0</v>
      </c>
      <c r="AO87" s="107">
        <f>IF(ISNA(VLOOKUP(L88,変ＵＳＥＲ,3,FALSE)),0,VLOOKUP(L88,変ＵＳＥＲ,3,FALSE)*BA89/50)</f>
        <v>0</v>
      </c>
      <c r="AP87" s="108">
        <f>IF(W86="",0,W86*1000/BA88^2/SQRT(BA86))</f>
        <v>0</v>
      </c>
      <c r="AQ87" s="107">
        <f>IF(AND(BA86=1,BA87=2),1,IF(AND(BA86=3,BA87=3),1,IF(AND(BA86=1,BA87=3),2,IF(AND(BA86=3,BA87=4)*OR(BB86=1,BB87=1,BB88=1,BB89=1),1,SQRT(3)))))</f>
        <v>1.7320508075688772</v>
      </c>
      <c r="AR87" s="109" t="str">
        <f>IF(X86="","",IF(X86="600V IV",VLOOKUP(X88,ＩＶ,3,FALSE),IF(X86="600V CV-T",VLOOKUP(X88,ＣＶＴ,3,FALSE),IF(OR(X86="600V CV-1C",X86="600V CV-2C",X86="600V CV-3C",X86="600V CV-4C"),VLOOKUP(X88,ＣＶ２３Ｃ,3,FALSE),VLOOKUP(X88,ＣＵＳＥＲ,3,FALSE)))))</f>
        <v/>
      </c>
      <c r="AS87" s="107" t="str">
        <f>IF(AD89="",AP89,AP89+(AD89/1000))</f>
        <v/>
      </c>
      <c r="AT87" s="110" t="str">
        <f>IF(AU89="",AT89,AU89)</f>
        <v/>
      </c>
      <c r="AU87" s="110" t="str">
        <f>IF(D86="","",IF(AND(D150="",D154&lt;&gt;"",AV89=AV157),AT155,IF(AND(D150="",D154="",D158&lt;&gt;"",AV153=AV161),AT159,IF(AND(D150="",D154="",D158="",D162&lt;&gt;"",AV157=AV165),AT163,IF(AND(D150="",D154="",D158="",D162="",D166&lt;&gt;"",AV161=AV169),AT167,IF(AND(D150="",D154="",D158="",D162="",D166="",D170&lt;&gt;"",AV165=AV173),AT171,IF(AND(D150="",D154="",D158="",D162="",D166="",D170="",D174&lt;&gt;"",AV169=AV177),AT175,"")))))))</f>
        <v/>
      </c>
      <c r="AV87" s="109" t="str">
        <f>IF(L86="発電機",IF(ISNA(VLOOKUP(L88,ＡＣＧ,3,FALSE)),0,VLOOKUP(L88,ＡＣＧ,3,FALSE)*BA89/50),"")</f>
        <v/>
      </c>
      <c r="AW87" s="111" t="str">
        <f>IF(AT87="","",(AT87-AP86*(AT86^2+AT87^2))/((AT86*AP86)^2+(AP86*AT87-1)^2))</f>
        <v/>
      </c>
      <c r="AX87" s="112"/>
      <c r="AY87" s="113">
        <f>IF(N(AY89)=10^30,10^30,IF(N(AY153)=10^30,(N(AY89)*(N(AY152)^2+N(AY153)^2)+N(AY153)*(N(AY88)^2+N(AY89)^2))/((N(AY88)+N(AY152))^2+(N(AY89)+N(AY153))^2),(N(AY89)*(N(AY150)^2+N(AY151)^2)+N(AY151)*(N(AY88)^2+N(AY89)^2))/((N(AY88)+N(AY150))^2+(N(AY89)+N(AY151))^2)))</f>
        <v>1E+30</v>
      </c>
      <c r="AZ87" s="52"/>
      <c r="BA87" s="114">
        <f>IF(AND(H86="",SUM(S86:S89)&lt;&gt;0),BA83,H86)</f>
        <v>0</v>
      </c>
      <c r="BB87" s="115">
        <f>IF(AND(BA86=3,S87&lt;&gt;""),1,0)</f>
        <v>0</v>
      </c>
      <c r="BC87" s="52"/>
      <c r="BD87" s="52"/>
      <c r="BH87" s="162"/>
      <c r="BI87" s="162"/>
      <c r="BJ87" s="4"/>
      <c r="BK87" s="4"/>
    </row>
    <row r="88" spans="1:63" ht="15" customHeight="1" x14ac:dyDescent="0.15">
      <c r="A88" s="159"/>
      <c r="B88" s="159"/>
      <c r="C88" s="245"/>
      <c r="D88" s="432"/>
      <c r="E88" s="448"/>
      <c r="F88" s="438"/>
      <c r="G88" s="438"/>
      <c r="H88" s="438"/>
      <c r="I88" s="438"/>
      <c r="J88" s="438"/>
      <c r="K88" s="439"/>
      <c r="L88" s="440"/>
      <c r="M88" s="441"/>
      <c r="N88" s="437"/>
      <c r="O88" s="171"/>
      <c r="P88" s="196"/>
      <c r="Q88" s="177"/>
      <c r="R88" s="173"/>
      <c r="S88" s="174" t="str">
        <f t="shared" si="3"/>
        <v/>
      </c>
      <c r="T88" s="175"/>
      <c r="U88" s="178" t="str">
        <f>IF(OR(BA88="",S88=""),"",S88*1000*T88/(SQRT(BA86)*BA88))</f>
        <v/>
      </c>
      <c r="V88" s="179" t="str">
        <f>IF(AND(N(U86)=0,N(U87)=0,N(U88)=0,N(U89)=0),"",V86*(P86*R86*T86+P87*R87*T87+P88*R88*T88+P89*R89*T89)/(P86*T86+P87*T87+P88*T88+P89*T89))</f>
        <v/>
      </c>
      <c r="W88" s="209" t="str">
        <f>IF(AND(N(AP88)=0,N(AP89)=0,N(AP87)=0),"",IF(AP89&gt;=0,COS(ATAN(AP89/AP88)),-COS(ATAN(AP89/AP88))))</f>
        <v/>
      </c>
      <c r="X88" s="180"/>
      <c r="Y88" s="181"/>
      <c r="Z88" s="182"/>
      <c r="AA88" s="183"/>
      <c r="AB88" s="184"/>
      <c r="AC88" s="181"/>
      <c r="AD88" s="182"/>
      <c r="AE88" s="185"/>
      <c r="AF88" s="136" t="str">
        <f>IF(OR(AF86="",AG82&lt;&gt;""),"",BA88/SQRT(AW88^2+AW89^2))</f>
        <v/>
      </c>
      <c r="AG88" s="205" t="str">
        <f>IF(AG86="","",100*((BA88/AQ87)-AG86)/(BA88/AQ87))</f>
        <v/>
      </c>
      <c r="AH88" s="206"/>
      <c r="AI88" s="208"/>
      <c r="AJ88" s="211"/>
      <c r="AK88" s="213"/>
      <c r="AL88" s="137"/>
      <c r="AM88" s="59"/>
      <c r="AN88" s="138" t="b">
        <f>IF(BA86="","",IF(AND(BA86=3,F88=50,L86="油入自冷"),VLOOKUP(L88,変３,2,FALSE),IF(AND(BA86=3,F88=50,L86="モ－ルド絶縁"),VLOOKUP(L88,変３,7,FALSE),IF(AND(BA86=3,F88=60,L86="油入自冷"),VLOOKUP(L88,変３,12,FALSE),IF(AND(BA86=3,F88=60,L86="モ－ルド絶縁"),VLOOKUP(L88,変３,17,FALSE),FALSE)))))</f>
        <v>0</v>
      </c>
      <c r="AO88" s="109" t="str">
        <f>IF(AND(L82="",N(AY86)&lt;10^29),AY86,"")</f>
        <v/>
      </c>
      <c r="AP88" s="139" t="str">
        <f>IF(V86="","",IF(AND(N(V88)=0,N(AP87)=0),"",AQ88/((AQ88*AP87)^2+(AP87*AQ89-1)^2)))</f>
        <v/>
      </c>
      <c r="AQ88" s="107">
        <f>IF(N(V88)=0,10^30,V88)</f>
        <v>1E+30</v>
      </c>
      <c r="AR88" s="109" t="str">
        <f>IF(AB86="","",IF(AB86="600V IV",VLOOKUP(AB88,ＩＶ,2,FALSE),IF(AB86="600V CV-T",VLOOKUP(AB88,ＣＶＴ,2,FALSE),IF(OR(AB86="600V CV-1C",AB86="600V CV-2C",AB86="600V CV-3C",AB86="600V CV-4C"),VLOOKUP(AB88,ＣＶ２３Ｃ,2,FALSE),VLOOKUP(AB88,ＣＵＳＥＲ,2,FALSE)))))</f>
        <v/>
      </c>
      <c r="AS88" s="107" t="str">
        <f>IF(OR(AND(AS150="",AS151=""),AND(D86="",D150&lt;&gt;"")),AS86,(AS86*(AT150^2+AT151^2)+AT150*(AS86^2+AS87^2))/((AS86+AT150)^2+(AS87+AT151)^2))</f>
        <v/>
      </c>
      <c r="AT88" s="110" t="str">
        <f>IF(X89="",AS88,N(AS88)+(X89/1000))</f>
        <v/>
      </c>
      <c r="AU88" s="110" t="str">
        <f>IF(AU86="","",(AT88*(AU86^2+AU87^2)+AU86*(AT88^2+AT89^2))/((AT88+AU86)^2+(AT89+AU87)^2))</f>
        <v/>
      </c>
      <c r="AV88" s="110">
        <f>IF(BA88=0,1,0)</f>
        <v>1</v>
      </c>
      <c r="AW88" s="111" t="str">
        <f>IF(AO88="","",AW86+AO88)</f>
        <v/>
      </c>
      <c r="AX88" s="112" t="str">
        <f>IF(AND(AX84="",AW88&lt;&gt;""),BA88*SQRT(AW86^2+AW87^2)/SQRT(AW88^2+AW89^2),IF(BA88&lt;&gt;0,AX84,""))</f>
        <v/>
      </c>
      <c r="AY88" s="140">
        <f>IF(L88="",10^30,SQRT(BA86)*(BA88^2)*(N(AN86)+N(AN88)+N(AO86)+N(AV86))/(100000*L88*M86))</f>
        <v>1E+30</v>
      </c>
      <c r="AZ88" s="141"/>
      <c r="BA88" s="114">
        <f>IF(AND(J86="",SUM(S86:S89)&lt;&gt;0),BA84,J86)</f>
        <v>0</v>
      </c>
      <c r="BB88" s="115">
        <f>IF(AND(BA86=3,S88&lt;&gt;""),1,0)</f>
        <v>0</v>
      </c>
      <c r="BC88" s="52"/>
      <c r="BD88" s="52"/>
      <c r="BH88" s="162"/>
      <c r="BI88" s="162"/>
      <c r="BJ88" s="4"/>
      <c r="BK88" s="4"/>
    </row>
    <row r="89" spans="1:63" ht="15" customHeight="1" x14ac:dyDescent="0.15">
      <c r="A89" s="159"/>
      <c r="B89" s="159"/>
      <c r="C89" s="245"/>
      <c r="D89" s="442"/>
      <c r="E89" s="449"/>
      <c r="F89" s="444"/>
      <c r="G89" s="444"/>
      <c r="H89" s="444"/>
      <c r="I89" s="444"/>
      <c r="J89" s="444"/>
      <c r="K89" s="445"/>
      <c r="L89" s="238" t="str">
        <f>IF(M86="","",L88*1000*M86/(SQRT(BA86)*BA88))</f>
        <v/>
      </c>
      <c r="M89" s="239"/>
      <c r="N89" s="446"/>
      <c r="O89" s="186"/>
      <c r="P89" s="197"/>
      <c r="Q89" s="187"/>
      <c r="R89" s="188"/>
      <c r="S89" s="189" t="str">
        <f t="shared" si="3"/>
        <v/>
      </c>
      <c r="T89" s="190"/>
      <c r="U89" s="191" t="str">
        <f>IF(OR(BA88="",S89=""),"",S89*1000*T89/(SQRT(BA86)*BA88))</f>
        <v/>
      </c>
      <c r="V89" s="192" t="str">
        <f>IF(AND(N(U86)=0,N(U87)=0,N(U88)=0,N(U89)=0),"",IF(V86&gt;=0,SQRT(ABS(V86^2-V88^2)),-SQRT(V86^2-V88^2)))</f>
        <v/>
      </c>
      <c r="W89" s="210"/>
      <c r="X89" s="215" t="str">
        <f>IF(Y88="","",AQ86*Z88*AR86*((1+0.00393*(F89-20))/1.2751)/Y88)</f>
        <v/>
      </c>
      <c r="Y89" s="216"/>
      <c r="Z89" s="217" t="str">
        <f>IF(Y88="","",(BA89/50)*AQ86*Z88*AR87/Y88)</f>
        <v/>
      </c>
      <c r="AA89" s="218"/>
      <c r="AB89" s="219" t="str">
        <f>IF(AC88="","",AQ86*AD88*AR88*((1+0.00393*(F89-20))/1.2751)/AC88)</f>
        <v/>
      </c>
      <c r="AC89" s="216"/>
      <c r="AD89" s="217" t="str">
        <f>IF(AC88="","",(BA89/50)*AQ86*AD88*AR89/AC88)</f>
        <v/>
      </c>
      <c r="AE89" s="242"/>
      <c r="AF89" s="150" t="str">
        <f>IF(AND(AX86&lt;&gt;"",D86=""),AX86,"")</f>
        <v/>
      </c>
      <c r="AG89" s="243" t="str">
        <f>IF(AP88="","",AP88)</f>
        <v/>
      </c>
      <c r="AH89" s="244"/>
      <c r="AI89" s="151" t="str">
        <f>IF(AP89="","",AP89)</f>
        <v/>
      </c>
      <c r="AJ89" s="212"/>
      <c r="AK89" s="214"/>
      <c r="AL89" s="152"/>
      <c r="AM89" s="59"/>
      <c r="AN89" s="153" t="b">
        <f>IF(BA86="","",IF(AND(BA86=3,F88=50,L86="油入自冷"),VLOOKUP(L88,変３,3,FALSE),IF(AND(BA86=3,F88=50,L86="モ－ルド絶縁"),VLOOKUP(L88,変３,8,FALSE),IF(AND(BA86=3,F88=60,L86="油入自冷"),VLOOKUP(L88,変３,13,FALSE),IF(AND(BA86=3,F88=60,L86="モ－ルド絶縁"),VLOOKUP(L88,変３,18,FALSE),FALSE)))))</f>
        <v>0</v>
      </c>
      <c r="AO89" s="153" t="str">
        <f>IF(AND(L82="",N(AY87)&lt;10^29),AY87,"")</f>
        <v/>
      </c>
      <c r="AP89" s="154" t="str">
        <f>IF(V86="","",IF(AND(N(V89)=0,N(AP87)=0),0,(AQ89-AP87*(AQ88^2+AQ89^2))/((AQ88*AP87)^2+(AP87*AQ89-1)^2)))</f>
        <v/>
      </c>
      <c r="AQ89" s="155">
        <f>IF(N(V89)=0,10^30,V89)</f>
        <v>1E+30</v>
      </c>
      <c r="AR89" s="153" t="str">
        <f>IF(AB86="","",IF(AB86="600V IV",VLOOKUP(AB88,ＩＶ,3,FALSE),IF(AB86="600V CV-T",VLOOKUP(AB88,ＣＶＴ,3,FALSE),IF(OR(AB86="600V CV-1C",AB86="600V CV-2C",AB86="600V CV-3C",AB86="600V CV-4C"),VLOOKUP(AB88,ＣＶ２３Ｃ,3,FALSE),VLOOKUP(AB88,ＣＵＳＥＲ,3,FALSE)))))</f>
        <v/>
      </c>
      <c r="AS89" s="155" t="str">
        <f>IF(OR(AND(AS150="",AS151=""),AND(D86="",D150&lt;&gt;"")),AS87,(AS87*(AT150^2+AT151^2)+AT151*(AS86^2+AS87^2))/((AS86+AT150)^2+(AS87+AT151)^2))</f>
        <v/>
      </c>
      <c r="AT89" s="156" t="str">
        <f>IF(Z89="",AS89,N(AS89)+(Z89/1000))</f>
        <v/>
      </c>
      <c r="AU89" s="156" t="str">
        <f>IF(AU87="","",(AT89*(AU86^2+AU87^2)+AU87*(AT88^2+AT89^2))/((AT88+AU86)^2+(AT89+AU87)^2))</f>
        <v/>
      </c>
      <c r="AV89" s="156">
        <f>AV85+AV88</f>
        <v>4</v>
      </c>
      <c r="AW89" s="155" t="str">
        <f>IF(AO89="","",AW87+AO89)</f>
        <v/>
      </c>
      <c r="AX89" s="157"/>
      <c r="AY89" s="140">
        <f>IF(L88="",10^30,SQRT(BA86)*(BA88^2)*(N(AN87)+N(AN89)+N(AO87)+N(AV87))/(100000*L88*M86))</f>
        <v>1E+30</v>
      </c>
      <c r="AZ89" s="141"/>
      <c r="BA89" s="114">
        <f>IF(AND(F88="",SUM(S86:S89)&lt;&gt;0),BA85,F88)</f>
        <v>0</v>
      </c>
      <c r="BB89" s="115">
        <f>IF(AND(BA86=3,S89&lt;&gt;""),1,0)</f>
        <v>0</v>
      </c>
      <c r="BC89" s="52"/>
      <c r="BD89" s="52"/>
      <c r="BH89" s="162"/>
      <c r="BI89" s="162"/>
      <c r="BJ89" s="4"/>
      <c r="BK89" s="4"/>
    </row>
    <row r="90" spans="1:63" ht="15" customHeight="1" x14ac:dyDescent="0.15">
      <c r="A90" s="159"/>
      <c r="B90" s="159"/>
      <c r="C90" s="245" t="str">
        <f>IF(BH90=1,"●","・")</f>
        <v>・</v>
      </c>
      <c r="D90" s="425"/>
      <c r="E90" s="447"/>
      <c r="F90" s="427"/>
      <c r="G90" s="240" t="str">
        <f>IF(F90="","","φ")</f>
        <v/>
      </c>
      <c r="H90" s="428"/>
      <c r="I90" s="240" t="str">
        <f>IF(H90="","","W")</f>
        <v/>
      </c>
      <c r="J90" s="428"/>
      <c r="K90" s="246" t="str">
        <f>IF(J90="","","V")</f>
        <v/>
      </c>
      <c r="L90" s="429"/>
      <c r="M90" s="430"/>
      <c r="N90" s="431"/>
      <c r="O90" s="164"/>
      <c r="P90" s="194"/>
      <c r="Q90" s="165"/>
      <c r="R90" s="166"/>
      <c r="S90" s="167" t="str">
        <f>IF(R90="","",IF(Q90="",P90/R90,P90/(Q90*R90)))</f>
        <v/>
      </c>
      <c r="T90" s="168"/>
      <c r="U90" s="169" t="str">
        <f>IF(OR(BA92="",S90=""),"",S90*1000*T90/(SQRT(BA90)*BA92))</f>
        <v/>
      </c>
      <c r="V90" s="236" t="str">
        <f>IF(AND(N(U90)=0,N(U91)=0,N(U92)=0,N(U93)=0),"",BA92/(SUM(U90:U93)))</f>
        <v/>
      </c>
      <c r="W90" s="220"/>
      <c r="X90" s="222"/>
      <c r="Y90" s="223"/>
      <c r="Z90" s="224"/>
      <c r="AA90" s="228"/>
      <c r="AB90" s="230"/>
      <c r="AC90" s="223"/>
      <c r="AD90" s="224"/>
      <c r="AE90" s="232"/>
      <c r="AF90" s="104" t="str">
        <f>IF(OR(AND(AF86="",N(BA88)=0,BA92&lt;&gt;0),D90&lt;&gt;""),AX92/AQ91,"")</f>
        <v/>
      </c>
      <c r="AG90" s="234" t="str">
        <f>IF(BA92=0,"",IF(AD92="",AX90,IF(AND(D90&lt;&gt;"",AU90=""),AX92*SQRT(AP92^2+AP93^2)/SQRT(AS90^2+AS91^2)/AQ91,AX90*SQRT(AP92^2+AP93^2)/SQRT(AS90^2+AS91^2))))</f>
        <v/>
      </c>
      <c r="AH90" s="235"/>
      <c r="AI90" s="105" t="str">
        <f>IF(AG90="","",IF(N(U90)&lt;0,-AX90*AQ91/SQRT(AS90^2+AS91^2),AX90*AQ91/SQRT(AS90^2+AS91^2)))</f>
        <v/>
      </c>
      <c r="AJ90" s="201"/>
      <c r="AK90" s="202"/>
      <c r="AL90" s="106"/>
      <c r="AM90" s="59"/>
      <c r="AN90" s="107" t="b">
        <f>IF(BA90="","",IF(AND(BA90=1,F92=50,L90="油入自冷"),VLOOKUP(L92,変１,2,FALSE),IF(AND(BA90=1,F92=50,L90="モ－ルド絶縁"),VLOOKUP(L92,変１,7,FALSE),IF(AND(BA90=1,F92=60,L90="油入自冷"),VLOOKUP(L92,変１,12,FALSE),IF(AND(BA90=1,F92=60,L90="モ－ルド絶縁"),VLOOKUP(L92,変１,17,FALSE),FALSE)))))</f>
        <v>0</v>
      </c>
      <c r="AO90" s="107">
        <f>IF(ISNA(VLOOKUP(L92,変ＵＳＥＲ,2,FALSE)),0,VLOOKUP(L92,変ＵＳＥＲ,2,FALSE))</f>
        <v>0</v>
      </c>
      <c r="AP90" s="108">
        <f>IF(N90="",0,N90*1000/BA92^2/SQRT(BA90))</f>
        <v>0</v>
      </c>
      <c r="AQ90" s="107" t="b">
        <f>IF(BA90=1,2,IF(BA90=3,SQRT(3),FALSE))</f>
        <v>0</v>
      </c>
      <c r="AR90" s="109" t="str">
        <f>IF(X90="","",IF(X90="600V IV",VLOOKUP(X92,ＩＶ,2,FALSE),IF(X90="600V CV-T",VLOOKUP(X92,ＣＶＴ,2,FALSE),IF(OR(X90="600V CV-1C",X90="600V CV-2C",X90="600V CV-3C",X90="600V CV-4C"),VLOOKUP(X92,ＣＶ２３Ｃ,2,FALSE),VLOOKUP(X92,ＣＵＳＥＲ,2,FALSE)))))</f>
        <v/>
      </c>
      <c r="AS90" s="107" t="str">
        <f>IF(AB93="",AP92,AP92+(AB93/1000))</f>
        <v/>
      </c>
      <c r="AT90" s="110" t="str">
        <f>IF(AU92="",AT92,AU92)</f>
        <v/>
      </c>
      <c r="AU90" s="110" t="str">
        <f>IF(D90="","",IF(AND(D154="",D158&lt;&gt;"",AV93=AV161),AT158,IF(AND(D154="",D158="",D162&lt;&gt;"",AV157=AV165),AT162,IF(AND(D154="",D158="",D162="",D166&lt;&gt;"",AV161=AV169),AT166,IF(AND(D154="",D158="",D162="",D166="",D170&lt;&gt;"",AV165=AV173),AT170,IF(AND(D154="",D158="",D162="",D166="",D170="",D174&lt;&gt;"",AV169=AV177),AT174,IF(AND(D154="",D158="",D162="",D166="",D170="",D174="",D178&lt;&gt;"",AV173=AV181),AT178,"")))))))</f>
        <v/>
      </c>
      <c r="AV90" s="110" t="str">
        <f>IF(L90="発電機",IF(ISNA(VLOOKUP(L92,ＡＣＧ,2,FALSE)),0,VLOOKUP(L92,ＡＣＧ,2,FALSE)),"")</f>
        <v/>
      </c>
      <c r="AW90" s="111" t="str">
        <f>IF(AT90="","",AT90/((AT90*AP90)^2+(AT91*AP90-1)^2))</f>
        <v/>
      </c>
      <c r="AX90" s="112" t="str">
        <f>IF(BA92=0,"",IF(OR(AX86="",AF90&lt;&gt;""),AF90*SQRT(AS92^2+AS93^2)/SQRT(AT92^2+AT93^2),AX86*SQRT(AS92^2+AS93^2)/SQRT(AT92^2+AT93^2)))</f>
        <v/>
      </c>
      <c r="AY90" s="113">
        <f>IF(N(AY92)=10^30,10^30,IF(N(AY156)=10^30,(N(AY92)*(N(AY156)^2+N(AY157)^2)+N(AY156)*(N(AY92)^2+N(AY93)^2))/((N(AY92)+N(AY156))^2+(N(AY93)+N(AY157))^2),(N(AY92)*(N(AY154)^2+N(AY155)^2)+N(AY154)*(N(AY92)^2+N(AY93)^2))/((N(AY92)+N(AY154))^2+(N(AY93)+N(AY155))^2)))</f>
        <v>1E+30</v>
      </c>
      <c r="AZ90" s="52"/>
      <c r="BA90" s="114">
        <f>IF(AND(F90="",SUM(S90:S93)&lt;&gt;0),BA86,F90)</f>
        <v>0</v>
      </c>
      <c r="BB90" s="115">
        <f>IF(AND(BA90=3,S90&lt;&gt;""),1,0)</f>
        <v>0</v>
      </c>
      <c r="BC90" s="52"/>
      <c r="BD90" s="52"/>
      <c r="BH90" s="162">
        <f>IF(OR(E90="",F93="",AND(OR(P90="",Q90="",R90="",T90=""),OR(P91="",Q91="",R91="",T91=""),OR(P92="",Q92="",R92="",T92=""),OR(P93="",Q93="",R93="",T93="")),AND(OR(X90="",X92="",Y92="",Z92=""),OR(AB90="",AB92="",AC92="",AD92=""))),0,1)</f>
        <v>0</v>
      </c>
      <c r="BI90" s="162">
        <f>BH90+BI86</f>
        <v>4</v>
      </c>
      <c r="BJ90" s="4"/>
      <c r="BK90" s="4"/>
    </row>
    <row r="91" spans="1:63" ht="15" customHeight="1" x14ac:dyDescent="0.15">
      <c r="A91" s="159"/>
      <c r="B91" s="159"/>
      <c r="C91" s="245"/>
      <c r="D91" s="432"/>
      <c r="E91" s="448"/>
      <c r="F91" s="434"/>
      <c r="G91" s="241"/>
      <c r="H91" s="435"/>
      <c r="I91" s="241"/>
      <c r="J91" s="435"/>
      <c r="K91" s="247"/>
      <c r="L91" s="436"/>
      <c r="M91" s="170" t="str">
        <f>IF(L90="発電機",SQRT(AV90^2+AV91^2),IF(L92="","",IF(OR(L90="油入自冷",L90="モ－ルド絶縁"),IF(BA90=1,SQRT(AN90^2+AN91^2),IF(BA90=3,SQRT(AN92^2+AN93^2))),SQRT(AO90^2+AO91^2))))</f>
        <v/>
      </c>
      <c r="N91" s="437"/>
      <c r="O91" s="171"/>
      <c r="P91" s="195"/>
      <c r="Q91" s="172"/>
      <c r="R91" s="173"/>
      <c r="S91" s="174" t="str">
        <f t="shared" si="3"/>
        <v/>
      </c>
      <c r="T91" s="175"/>
      <c r="U91" s="176" t="str">
        <f>IF(OR(BA92="",S91=""),"",S91*1000*T91/(SQRT(BA90)*BA92))</f>
        <v/>
      </c>
      <c r="V91" s="237"/>
      <c r="W91" s="221"/>
      <c r="X91" s="225"/>
      <c r="Y91" s="226"/>
      <c r="Z91" s="227"/>
      <c r="AA91" s="229"/>
      <c r="AB91" s="231"/>
      <c r="AC91" s="226"/>
      <c r="AD91" s="227"/>
      <c r="AE91" s="233"/>
      <c r="AF91" s="124" t="str">
        <f>IF(OR(AF90="",AG86&lt;&gt;""),"",AF90*AQ91/SQRT(AT90^2+AT91^2))</f>
        <v/>
      </c>
      <c r="AG91" s="205" t="str">
        <f>IF(AG90="","",100*AG90*AQ91/BA92)</f>
        <v/>
      </c>
      <c r="AH91" s="206"/>
      <c r="AI91" s="207" t="str">
        <f>IF(BA92=0,"",IF(AI86="",AX92/SQRT(AT90^2+AT91^2),IF(AI94="","",IF(AT90&lt;0,-AX90*AQ87/SQRT(AT90^2+AT91^2),AX90*AQ87/SQRT(AT90^2+AT91^2)))))</f>
        <v/>
      </c>
      <c r="AJ91" s="203"/>
      <c r="AK91" s="204"/>
      <c r="AL91" s="125"/>
      <c r="AM91" s="59"/>
      <c r="AN91" s="107" t="b">
        <f>IF(BA90="","",IF(AND(BA90=1,F92=50,L90="油入自冷"),VLOOKUP(L92,変１,3,FALSE),IF(AND(BA90=1,F92=50,L90="モ－ルド絶縁"),VLOOKUP(L92,変１,8,FALSE),IF(AND(BA90=1,F92=60,L90="油入自冷"),VLOOKUP(L92,変１,13,FALSE),IF(AND(BA90=1,F92=60,L90="モ－ルド絶縁"),VLOOKUP(L92,変１,18,FALSE),FALSE)))))</f>
        <v>0</v>
      </c>
      <c r="AO91" s="107">
        <f>IF(ISNA(VLOOKUP(L92,変ＵＳＥＲ,3,FALSE)),0,VLOOKUP(L92,変ＵＳＥＲ,3,FALSE)*BA93/50)</f>
        <v>0</v>
      </c>
      <c r="AP91" s="108">
        <f>IF(W90="",0,W90*1000/BA92^2/SQRT(BA90))</f>
        <v>0</v>
      </c>
      <c r="AQ91" s="107">
        <f>IF(AND(BA90=1,BA91=2),1,IF(AND(BA90=3,BA91=3),1,IF(AND(BA90=1,BA91=3),2,IF(AND(BA90=3,BA91=4)*OR(BB90=1,BB91=1,BB92=1,BB93=1),1,SQRT(3)))))</f>
        <v>1.7320508075688772</v>
      </c>
      <c r="AR91" s="109" t="str">
        <f>IF(X90="","",IF(X90="600V IV",VLOOKUP(X92,ＩＶ,3,FALSE),IF(X90="600V CV-T",VLOOKUP(X92,ＣＶＴ,3,FALSE),IF(OR(X90="600V CV-1C",X90="600V CV-2C",X90="600V CV-3C",X90="600V CV-4C"),VLOOKUP(X92,ＣＶ２３Ｃ,3,FALSE),VLOOKUP(X92,ＣＵＳＥＲ,3,FALSE)))))</f>
        <v/>
      </c>
      <c r="AS91" s="107" t="str">
        <f>IF(AD93="",AP93,AP93+(AD93/1000))</f>
        <v/>
      </c>
      <c r="AT91" s="110" t="str">
        <f>IF(AU93="",AT93,AU93)</f>
        <v/>
      </c>
      <c r="AU91" s="110" t="str">
        <f>IF(D90="","",IF(AND(D154="",D158&lt;&gt;"",AV93=AV161),AT159,IF(AND(D154="",D158="",D162&lt;&gt;"",AV157=AV165),AT163,IF(AND(D154="",D158="",D162="",D166&lt;&gt;"",AV161=AV169),AT167,IF(AND(D154="",D158="",D162="",D166="",D170&lt;&gt;"",AV165=AV173),AT171,IF(AND(D154="",D158="",D162="",D166="",D170="",D174&lt;&gt;"",AV169=AV177),AT175,IF(AND(D154="",D158="",D162="",D166="",D170="",D174="",D178&lt;&gt;"",AV173=AV181),AT179,"")))))))</f>
        <v/>
      </c>
      <c r="AV91" s="109" t="str">
        <f>IF(L90="発電機",IF(ISNA(VLOOKUP(L92,ＡＣＧ,3,FALSE)),0,VLOOKUP(L92,ＡＣＧ,3,FALSE)*BA93/50),"")</f>
        <v/>
      </c>
      <c r="AW91" s="111" t="str">
        <f>IF(AT91="","",(AT91-AP90*(AT90^2+AT91^2))/((AT90*AP90)^2+(AP90*AT91-1)^2))</f>
        <v/>
      </c>
      <c r="AX91" s="112"/>
      <c r="AY91" s="113">
        <f>IF(N(AY93)=10^30,10^30,IF(N(AY157)=10^30,(N(AY93)*(N(AY156)^2+N(AY157)^2)+N(AY157)*(N(AY92)^2+N(AY93)^2))/((N(AY92)+N(AY156))^2+(N(AY93)+N(AY157))^2),(N(AY93)*(N(AY154)^2+N(AY155)^2)+N(AY155)*(N(AY92)^2+N(AY93)^2))/((N(AY92)+N(AY154))^2+(N(AY93)+N(AY155))^2)))</f>
        <v>1E+30</v>
      </c>
      <c r="AZ91" s="52"/>
      <c r="BA91" s="114">
        <f>IF(AND(H90="",SUM(S90:S93)&lt;&gt;0),BA87,H90)</f>
        <v>0</v>
      </c>
      <c r="BB91" s="115">
        <f>IF(AND(BA90=3,S91&lt;&gt;""),1,0)</f>
        <v>0</v>
      </c>
      <c r="BC91" s="52"/>
      <c r="BD91" s="52"/>
      <c r="BH91" s="162"/>
      <c r="BI91" s="162"/>
      <c r="BJ91" s="4"/>
      <c r="BK91" s="4"/>
    </row>
    <row r="92" spans="1:63" ht="15" customHeight="1" x14ac:dyDescent="0.15">
      <c r="A92" s="159"/>
      <c r="B92" s="159"/>
      <c r="C92" s="245"/>
      <c r="D92" s="432"/>
      <c r="E92" s="448"/>
      <c r="F92" s="438"/>
      <c r="G92" s="438"/>
      <c r="H92" s="438"/>
      <c r="I92" s="438"/>
      <c r="J92" s="438"/>
      <c r="K92" s="439"/>
      <c r="L92" s="440"/>
      <c r="M92" s="441"/>
      <c r="N92" s="437"/>
      <c r="O92" s="171"/>
      <c r="P92" s="196"/>
      <c r="Q92" s="177"/>
      <c r="R92" s="173"/>
      <c r="S92" s="174" t="str">
        <f t="shared" si="3"/>
        <v/>
      </c>
      <c r="T92" s="175"/>
      <c r="U92" s="178" t="str">
        <f>IF(OR(BA92="",S92=""),"",S92*1000*T92/(SQRT(BA90)*BA92))</f>
        <v/>
      </c>
      <c r="V92" s="179" t="str">
        <f>IF(AND(N(U90)=0,N(U91)=0,N(U92)=0,N(U93)=0),"",V90*(P90*R90*T90+P91*R91*T91+P92*R92*T92+P93*R93*T93)/(P90*T90+P91*T91+P92*T92+P93*T93))</f>
        <v/>
      </c>
      <c r="W92" s="209" t="str">
        <f>IF(AND(N(AP92)=0,N(AP93)=0,N(AP91)=0),"",IF(AP93&gt;=0,COS(ATAN(AP93/AP92)),-COS(ATAN(AP93/AP92))))</f>
        <v/>
      </c>
      <c r="X92" s="180"/>
      <c r="Y92" s="181"/>
      <c r="Z92" s="182"/>
      <c r="AA92" s="183"/>
      <c r="AB92" s="184"/>
      <c r="AC92" s="181"/>
      <c r="AD92" s="182"/>
      <c r="AE92" s="185"/>
      <c r="AF92" s="136" t="str">
        <f>IF(OR(AF90="",AG86&lt;&gt;""),"",BA92/SQRT(AW92^2+AW93^2))</f>
        <v/>
      </c>
      <c r="AG92" s="205" t="str">
        <f>IF(AG90="","",100*((BA92/AQ91)-AG90)/(BA92/AQ91))</f>
        <v/>
      </c>
      <c r="AH92" s="206"/>
      <c r="AI92" s="208"/>
      <c r="AJ92" s="211"/>
      <c r="AK92" s="213"/>
      <c r="AL92" s="137"/>
      <c r="AM92" s="59"/>
      <c r="AN92" s="138" t="b">
        <f>IF(BA90="","",IF(AND(BA90=3,F92=50,L90="油入自冷"),VLOOKUP(L92,変３,2,FALSE),IF(AND(BA90=3,F92=50,L90="モ－ルド絶縁"),VLOOKUP(L92,変３,7,FALSE),IF(AND(BA90=3,F92=60,L90="油入自冷"),VLOOKUP(L92,変３,12,FALSE),IF(AND(BA90=3,F92=60,L90="モ－ルド絶縁"),VLOOKUP(L92,変３,17,FALSE),FALSE)))))</f>
        <v>0</v>
      </c>
      <c r="AO92" s="109" t="str">
        <f>IF(AND(L86="",N(AY90)&lt;10^29),AY90,"")</f>
        <v/>
      </c>
      <c r="AP92" s="139" t="str">
        <f>IF(V90="","",IF(AND(N(V92)=0,N(AP91)=0),"",AQ92/((AQ92*AP91)^2+(AP91*AQ93-1)^2)))</f>
        <v/>
      </c>
      <c r="AQ92" s="107">
        <f>IF(N(V92)=0,10^30,V92)</f>
        <v>1E+30</v>
      </c>
      <c r="AR92" s="109" t="str">
        <f>IF(AB90="","",IF(AB90="600V IV",VLOOKUP(AB92,ＩＶ,2,FALSE),IF(AB90="600V CV-T",VLOOKUP(AB92,ＣＶＴ,2,FALSE),IF(OR(AB90="600V CV-1C",AB90="600V CV-2C",AB90="600V CV-3C",AB90="600V CV-4C"),VLOOKUP(AB92,ＣＶ２３Ｃ,2,FALSE),VLOOKUP(AB92,ＣＵＳＥＲ,2,FALSE)))))</f>
        <v/>
      </c>
      <c r="AS92" s="107" t="str">
        <f>IF(OR(AND(AS154="",AS155=""),AND(D90="",D154&lt;&gt;"")),AS90,(AS90*(AT154^2+AT155^2)+AT154*(AS90^2+AS91^2))/((AS90+AT154)^2+(AS91+AT155)^2))</f>
        <v/>
      </c>
      <c r="AT92" s="110" t="str">
        <f>IF(X93="",AS92,N(AS92)+(X93/1000))</f>
        <v/>
      </c>
      <c r="AU92" s="110" t="str">
        <f>IF(AU90="","",(AT92*(AU90^2+AU91^2)+AU90*(AT92^2+AT93^2))/((AT92+AU90)^2+(AT93+AU91)^2))</f>
        <v/>
      </c>
      <c r="AV92" s="110">
        <f>IF(BA92=0,1,0)</f>
        <v>1</v>
      </c>
      <c r="AW92" s="111" t="str">
        <f>IF(AO92="","",AW90+AO92)</f>
        <v/>
      </c>
      <c r="AX92" s="112" t="str">
        <f>IF(AND(AX88="",AW92&lt;&gt;""),BA92*SQRT(AW90^2+AW91^2)/SQRT(AW92^2+AW93^2),IF(BA92&lt;&gt;0,AX88,""))</f>
        <v/>
      </c>
      <c r="AY92" s="140">
        <f>IF(L92="",10^30,SQRT(BA90)*(BA92^2)*(N(AN90)+N(AN92)+N(AO90)+N(AV90))/(100000*L92*M90))</f>
        <v>1E+30</v>
      </c>
      <c r="AZ92" s="141"/>
      <c r="BA92" s="114">
        <f>IF(AND(J90="",SUM(S90:S93)&lt;&gt;0),BA88,J90)</f>
        <v>0</v>
      </c>
      <c r="BB92" s="115">
        <f>IF(AND(BA90=3,S92&lt;&gt;""),1,0)</f>
        <v>0</v>
      </c>
      <c r="BC92" s="52"/>
      <c r="BD92" s="52"/>
      <c r="BH92" s="162"/>
      <c r="BI92" s="162"/>
      <c r="BJ92" s="4"/>
      <c r="BK92" s="4"/>
    </row>
    <row r="93" spans="1:63" ht="15" customHeight="1" x14ac:dyDescent="0.15">
      <c r="A93" s="159"/>
      <c r="B93" s="159"/>
      <c r="C93" s="245"/>
      <c r="D93" s="442"/>
      <c r="E93" s="449"/>
      <c r="F93" s="444"/>
      <c r="G93" s="444"/>
      <c r="H93" s="444"/>
      <c r="I93" s="444"/>
      <c r="J93" s="444"/>
      <c r="K93" s="445"/>
      <c r="L93" s="238" t="str">
        <f>IF(M90="","",L92*1000*M90/(SQRT(BA90)*BA92))</f>
        <v/>
      </c>
      <c r="M93" s="239"/>
      <c r="N93" s="446"/>
      <c r="O93" s="186"/>
      <c r="P93" s="197"/>
      <c r="Q93" s="187"/>
      <c r="R93" s="188"/>
      <c r="S93" s="189" t="str">
        <f t="shared" si="3"/>
        <v/>
      </c>
      <c r="T93" s="190"/>
      <c r="U93" s="191" t="str">
        <f>IF(OR(BA92="",S93=""),"",S93*1000*T93/(SQRT(BA90)*BA92))</f>
        <v/>
      </c>
      <c r="V93" s="192" t="str">
        <f>IF(AND(N(U90)=0,N(U91)=0,N(U92)=0,N(U93)=0),"",IF(V90&gt;=0,SQRT(ABS(V90^2-V92^2)),-SQRT(V90^2-V92^2)))</f>
        <v/>
      </c>
      <c r="W93" s="210"/>
      <c r="X93" s="215" t="str">
        <f>IF(Y92="","",AQ90*Z92*AR90*((1+0.00393*(F93-20))/1.2751)/Y92)</f>
        <v/>
      </c>
      <c r="Y93" s="216"/>
      <c r="Z93" s="217" t="str">
        <f>IF(Y92="","",(BA93/50)*AQ90*Z92*AR91/Y92)</f>
        <v/>
      </c>
      <c r="AA93" s="218"/>
      <c r="AB93" s="219" t="str">
        <f>IF(AC92="","",AQ90*AD92*AR92*((1+0.00393*(F93-20))/1.2751)/AC92)</f>
        <v/>
      </c>
      <c r="AC93" s="216"/>
      <c r="AD93" s="217" t="str">
        <f>IF(AC92="","",(BA93/50)*AQ90*AD92*AR93/AC92)</f>
        <v/>
      </c>
      <c r="AE93" s="242"/>
      <c r="AF93" s="150" t="str">
        <f>IF(AND(AX90&lt;&gt;"",D90=""),AX90,"")</f>
        <v/>
      </c>
      <c r="AG93" s="243" t="str">
        <f>IF(AP92="","",AP92)</f>
        <v/>
      </c>
      <c r="AH93" s="244"/>
      <c r="AI93" s="151" t="str">
        <f>IF(AP93="","",AP93)</f>
        <v/>
      </c>
      <c r="AJ93" s="212"/>
      <c r="AK93" s="214"/>
      <c r="AL93" s="152"/>
      <c r="AM93" s="59"/>
      <c r="AN93" s="153" t="b">
        <f>IF(BA90="","",IF(AND(BA90=3,F92=50,L90="油入自冷"),VLOOKUP(L92,変３,3,FALSE),IF(AND(BA90=3,F92=50,L90="モ－ルド絶縁"),VLOOKUP(L92,変３,8,FALSE),IF(AND(BA90=3,F92=60,L90="油入自冷"),VLOOKUP(L92,変３,13,FALSE),IF(AND(BA90=3,F92=60,L90="モ－ルド絶縁"),VLOOKUP(L92,変３,18,FALSE),FALSE)))))</f>
        <v>0</v>
      </c>
      <c r="AO93" s="153" t="str">
        <f>IF(AND(L86="",N(AY91)&lt;10^29),AY91,"")</f>
        <v/>
      </c>
      <c r="AP93" s="154" t="str">
        <f>IF(V90="","",IF(AND(N(V93)=0,N(AP91)=0),0,(AQ93-AP91*(AQ92^2+AQ93^2))/((AQ92*AP91)^2+(AP91*AQ93-1)^2)))</f>
        <v/>
      </c>
      <c r="AQ93" s="155">
        <f>IF(N(V93)=0,10^30,V93)</f>
        <v>1E+30</v>
      </c>
      <c r="AR93" s="153" t="str">
        <f>IF(AB90="","",IF(AB90="600V IV",VLOOKUP(AB92,ＩＶ,3,FALSE),IF(AB90="600V CV-T",VLOOKUP(AB92,ＣＶＴ,3,FALSE),IF(OR(AB90="600V CV-1C",AB90="600V CV-2C",AB90="600V CV-3C",AB90="600V CV-4C"),VLOOKUP(AB92,ＣＶ２３Ｃ,3,FALSE),VLOOKUP(AB92,ＣＵＳＥＲ,3,FALSE)))))</f>
        <v/>
      </c>
      <c r="AS93" s="155" t="str">
        <f>IF(OR(AND(AS154="",AS155=""),AND(D90="",D154&lt;&gt;"")),AS91,(AS91*(AT154^2+AT155^2)+AT155*(AS90^2+AS91^2))/((AS90+AT154)^2+(AS91+AT155)^2))</f>
        <v/>
      </c>
      <c r="AT93" s="156" t="str">
        <f>IF(Z93="",AS93,N(AS93)+(Z93/1000))</f>
        <v/>
      </c>
      <c r="AU93" s="156" t="str">
        <f>IF(AU91="","",(AT93*(AU90^2+AU91^2)+AU91*(AT92^2+AT93^2))/((AT92+AU90)^2+(AT93+AU91)^2))</f>
        <v/>
      </c>
      <c r="AV93" s="156">
        <f>AV89+AV92</f>
        <v>5</v>
      </c>
      <c r="AW93" s="155" t="str">
        <f>IF(AO93="","",AW91+AO93)</f>
        <v/>
      </c>
      <c r="AX93" s="157"/>
      <c r="AY93" s="140">
        <f>IF(L92="",10^30,SQRT(BA90)*(BA92^2)*(N(AN91)+N(AN93)+N(AO91)+N(AV91))/(100000*L92*M90))</f>
        <v>1E+30</v>
      </c>
      <c r="AZ93" s="141"/>
      <c r="BA93" s="114">
        <f>IF(AND(F92="",SUM(S90:S93)&lt;&gt;0),BA89,F92)</f>
        <v>0</v>
      </c>
      <c r="BB93" s="115">
        <f>IF(AND(BA90=3,S93&lt;&gt;""),1,0)</f>
        <v>0</v>
      </c>
      <c r="BC93" s="52"/>
      <c r="BD93" s="52"/>
      <c r="BH93" s="162"/>
      <c r="BI93" s="162"/>
      <c r="BJ93" s="4"/>
      <c r="BK93" s="4"/>
    </row>
    <row r="94" spans="1:63" ht="15" customHeight="1" x14ac:dyDescent="0.15">
      <c r="A94" s="159"/>
      <c r="B94" s="159"/>
      <c r="C94" s="245" t="str">
        <f>IF(BH94=1,"●","・")</f>
        <v>・</v>
      </c>
      <c r="D94" s="425"/>
      <c r="E94" s="447"/>
      <c r="F94" s="427"/>
      <c r="G94" s="240" t="str">
        <f>IF(F94="","","φ")</f>
        <v/>
      </c>
      <c r="H94" s="428"/>
      <c r="I94" s="240" t="str">
        <f>IF(H94="","","W")</f>
        <v/>
      </c>
      <c r="J94" s="428"/>
      <c r="K94" s="246" t="str">
        <f>IF(J94="","","V")</f>
        <v/>
      </c>
      <c r="L94" s="429"/>
      <c r="M94" s="430"/>
      <c r="N94" s="431"/>
      <c r="O94" s="164"/>
      <c r="P94" s="194"/>
      <c r="Q94" s="165"/>
      <c r="R94" s="166"/>
      <c r="S94" s="167" t="str">
        <f>IF(R94="","",IF(Q94="",P94/R94,P94/(Q94*R94)))</f>
        <v/>
      </c>
      <c r="T94" s="168"/>
      <c r="U94" s="169" t="str">
        <f>IF(OR(BA96="",S94=""),"",S94*1000*T94/(SQRT(BA94)*BA96))</f>
        <v/>
      </c>
      <c r="V94" s="236" t="str">
        <f>IF(AND(N(U94)=0,N(U95)=0,N(U96)=0,N(U97)=0),"",BA96/(SUM(U94:U97)))</f>
        <v/>
      </c>
      <c r="W94" s="220"/>
      <c r="X94" s="222"/>
      <c r="Y94" s="223"/>
      <c r="Z94" s="224"/>
      <c r="AA94" s="228"/>
      <c r="AB94" s="230"/>
      <c r="AC94" s="223"/>
      <c r="AD94" s="224"/>
      <c r="AE94" s="232"/>
      <c r="AF94" s="104" t="str">
        <f>IF(OR(AND(AF90="",N(BA92)=0,BA96&lt;&gt;0),D94&lt;&gt;""),AX96/AQ95,"")</f>
        <v/>
      </c>
      <c r="AG94" s="234" t="str">
        <f>IF(BA96=0,"",IF(AD96="",AX94,IF(AND(D94&lt;&gt;"",AU94=""),AX96*SQRT(AP96^2+AP97^2)/SQRT(AS94^2+AS95^2)/AQ95,AX94*SQRT(AP96^2+AP97^2)/SQRT(AS94^2+AS95^2))))</f>
        <v/>
      </c>
      <c r="AH94" s="235"/>
      <c r="AI94" s="105" t="str">
        <f>IF(AG94="","",IF(N(U94)&lt;0,-AX94*AQ95/SQRT(AS94^2+AS95^2),AX94*AQ95/SQRT(AS94^2+AS95^2)))</f>
        <v/>
      </c>
      <c r="AJ94" s="201"/>
      <c r="AK94" s="202"/>
      <c r="AL94" s="106"/>
      <c r="AM94" s="59"/>
      <c r="AN94" s="107" t="b">
        <f>IF(BA94="","",IF(AND(BA94=1,F96=50,L94="油入自冷"),VLOOKUP(L96,変１,2,FALSE),IF(AND(BA94=1,F96=50,L94="モ－ルド絶縁"),VLOOKUP(L96,変１,7,FALSE),IF(AND(BA94=1,F96=60,L94="油入自冷"),VLOOKUP(L96,変１,12,FALSE),IF(AND(BA94=1,F96=60,L94="モ－ルド絶縁"),VLOOKUP(L96,変１,17,FALSE),FALSE)))))</f>
        <v>0</v>
      </c>
      <c r="AO94" s="107">
        <f>IF(ISNA(VLOOKUP(L96,変ＵＳＥＲ,2,FALSE)),0,VLOOKUP(L96,変ＵＳＥＲ,2,FALSE))</f>
        <v>0</v>
      </c>
      <c r="AP94" s="108">
        <f>IF(N94="",0,N94*1000/BA96^2/SQRT(BA94))</f>
        <v>0</v>
      </c>
      <c r="AQ94" s="107" t="b">
        <f>IF(BA94=1,2,IF(BA94=3,SQRT(3),FALSE))</f>
        <v>0</v>
      </c>
      <c r="AR94" s="109" t="str">
        <f>IF(X94="","",IF(X94="600V IV",VLOOKUP(X96,ＩＶ,2,FALSE),IF(X94="600V CV-T",VLOOKUP(X96,ＣＶＴ,2,FALSE),IF(OR(X94="600V CV-1C",X94="600V CV-2C",X94="600V CV-3C",X94="600V CV-4C"),VLOOKUP(X96,ＣＶ２３Ｃ,2,FALSE),VLOOKUP(X96,ＣＵＳＥＲ,2,FALSE)))))</f>
        <v/>
      </c>
      <c r="AS94" s="107" t="str">
        <f>IF(AB97="",AP96,AP96+(AB97/1000))</f>
        <v/>
      </c>
      <c r="AT94" s="110" t="str">
        <f>IF(AU96="",AT96,AU96)</f>
        <v/>
      </c>
      <c r="AU94" s="110" t="str">
        <f>IF(D94="","",IF(AND(D158="",D162&lt;&gt;"",AV97=AV165),AT162,IF(AND(D158="",D162="",D166&lt;&gt;"",AV161=AV169),AT166,IF(AND(D158="",D162="",D166="",D170&lt;&gt;"",AV165=AV173),AT170,IF(AND(D158="",D162="",D166="",D170="",D174&lt;&gt;"",AV169=AV177),AT174,IF(AND(D158="",D162="",D166="",D170="",D174="",D178&lt;&gt;"",AV173=AV181),AT178,IF(AND(D158="",D162="",D166="",D170="",D174="",D178="",D182&lt;&gt;"",AV177=AV185),AT182,"")))))))</f>
        <v/>
      </c>
      <c r="AV94" s="110" t="str">
        <f>IF(L94="発電機",IF(ISNA(VLOOKUP(L96,ＡＣＧ,2,FALSE)),0,VLOOKUP(L96,ＡＣＧ,2,FALSE)),"")</f>
        <v/>
      </c>
      <c r="AW94" s="111" t="str">
        <f>IF(AT94="","",AT94/((AT94*AP94)^2+(AT95*AP94-1)^2))</f>
        <v/>
      </c>
      <c r="AX94" s="112" t="str">
        <f>IF(BA96=0,"",IF(OR(AX90="",AF94&lt;&gt;""),AF94*SQRT(AS96^2+AS97^2)/SQRT(AT96^2+AT97^2),AX90*SQRT(AS96^2+AS97^2)/SQRT(AT96^2+AT97^2)))</f>
        <v/>
      </c>
      <c r="AY94" s="113">
        <f>IF(N(AY96)=10^30,10^30,IF(N(AY160)=10^30,(N(AY96)*(N(AY160)^2+N(AY161)^2)+N(AY160)*(N(AY96)^2+N(AY97)^2))/((N(AY96)+N(AY160))^2+(N(AY97)+N(AY161))^2),(N(AY96)*(N(AY158)^2+N(AY159)^2)+N(AY158)*(N(AY96)^2+N(AY97)^2))/((N(AY96)+N(AY158))^2+(N(AY97)+N(AY159))^2)))</f>
        <v>1E+30</v>
      </c>
      <c r="AZ94" s="52"/>
      <c r="BA94" s="114">
        <f>IF(AND(F94="",SUM(S94:S97)&lt;&gt;0),BA90,F94)</f>
        <v>0</v>
      </c>
      <c r="BB94" s="115">
        <f>IF(AND(BA94=3,S94&lt;&gt;""),1,0)</f>
        <v>0</v>
      </c>
      <c r="BC94" s="52"/>
      <c r="BD94" s="52"/>
      <c r="BH94" s="162">
        <f>IF(OR(E94="",F97="",AND(OR(P94="",Q94="",R94="",T94=""),OR(P95="",Q95="",R95="",T95=""),OR(P96="",Q96="",R96="",T96=""),OR(P97="",Q97="",R97="",T97="")),AND(OR(X94="",X96="",Y96="",Z96=""),OR(AB94="",AB96="",AC96="",AD96=""))),0,1)</f>
        <v>0</v>
      </c>
      <c r="BI94" s="162">
        <f>BH94+BI90</f>
        <v>4</v>
      </c>
      <c r="BJ94" s="4"/>
      <c r="BK94" s="4"/>
    </row>
    <row r="95" spans="1:63" ht="15" customHeight="1" x14ac:dyDescent="0.15">
      <c r="A95" s="159"/>
      <c r="B95" s="159"/>
      <c r="C95" s="245"/>
      <c r="D95" s="432"/>
      <c r="E95" s="448"/>
      <c r="F95" s="434"/>
      <c r="G95" s="241"/>
      <c r="H95" s="435"/>
      <c r="I95" s="241"/>
      <c r="J95" s="435"/>
      <c r="K95" s="247"/>
      <c r="L95" s="436"/>
      <c r="M95" s="170" t="str">
        <f>IF(L94="発電機",SQRT(AV94^2+AV95^2),IF(L96="","",IF(OR(L94="油入自冷",L94="モ－ルド絶縁"),IF(BA94=1,SQRT(AN94^2+AN95^2),IF(BA94=3,SQRT(AN96^2+AN97^2))),SQRT(AO94^2+AO95^2))))</f>
        <v/>
      </c>
      <c r="N95" s="437"/>
      <c r="O95" s="171"/>
      <c r="P95" s="195"/>
      <c r="Q95" s="172"/>
      <c r="R95" s="173"/>
      <c r="S95" s="174" t="str">
        <f t="shared" si="3"/>
        <v/>
      </c>
      <c r="T95" s="175"/>
      <c r="U95" s="176" t="str">
        <f>IF(OR(BA96="",S95=""),"",S95*1000*T95/(SQRT(BA94)*BA96))</f>
        <v/>
      </c>
      <c r="V95" s="237"/>
      <c r="W95" s="221"/>
      <c r="X95" s="225"/>
      <c r="Y95" s="226"/>
      <c r="Z95" s="227"/>
      <c r="AA95" s="229"/>
      <c r="AB95" s="231"/>
      <c r="AC95" s="226"/>
      <c r="AD95" s="227"/>
      <c r="AE95" s="233"/>
      <c r="AF95" s="124" t="str">
        <f>IF(OR(AF94="",AG90&lt;&gt;""),"",AF94*AQ95/SQRT(AT94^2+AT95^2))</f>
        <v/>
      </c>
      <c r="AG95" s="205" t="str">
        <f>IF(AG94="","",100*AG94*AQ95/BA96)</f>
        <v/>
      </c>
      <c r="AH95" s="206"/>
      <c r="AI95" s="207" t="str">
        <f>IF(BA96=0,"",IF(AI90="",AX96/SQRT(AT94^2+AT95^2),IF(AI98="","",IF(AT94&lt;0,-AX94*AQ91/SQRT(AT94^2+AT95^2),AX94*AQ91/SQRT(AT94^2+AT95^2)))))</f>
        <v/>
      </c>
      <c r="AJ95" s="203"/>
      <c r="AK95" s="204"/>
      <c r="AL95" s="125"/>
      <c r="AM95" s="59"/>
      <c r="AN95" s="107" t="b">
        <f>IF(BA94="","",IF(AND(BA94=1,F96=50,L94="油入自冷"),VLOOKUP(L96,変１,3,FALSE),IF(AND(BA94=1,F96=50,L94="モ－ルド絶縁"),VLOOKUP(L96,変１,8,FALSE),IF(AND(BA94=1,F96=60,L94="油入自冷"),VLOOKUP(L96,変１,13,FALSE),IF(AND(BA94=1,F96=60,L94="モ－ルド絶縁"),VLOOKUP(L96,変１,18,FALSE),FALSE)))))</f>
        <v>0</v>
      </c>
      <c r="AO95" s="107">
        <f>IF(ISNA(VLOOKUP(L96,変ＵＳＥＲ,3,FALSE)),0,VLOOKUP(L96,変ＵＳＥＲ,3,FALSE)*BA97/50)</f>
        <v>0</v>
      </c>
      <c r="AP95" s="108">
        <f>IF(W94="",0,W94*1000/BA96^2/SQRT(BA94))</f>
        <v>0</v>
      </c>
      <c r="AQ95" s="107">
        <f>IF(AND(BA94=1,BA95=2),1,IF(AND(BA94=3,BA95=3),1,IF(AND(BA94=1,BA95=3),2,IF(AND(BA94=3,BA95=4)*OR(BB94=1,BB95=1,BB96=1,BB97=1),1,SQRT(3)))))</f>
        <v>1.7320508075688772</v>
      </c>
      <c r="AR95" s="109" t="str">
        <f>IF(X94="","",IF(X94="600V IV",VLOOKUP(X96,ＩＶ,3,FALSE),IF(X94="600V CV-T",VLOOKUP(X96,ＣＶＴ,3,FALSE),IF(OR(X94="600V CV-1C",X94="600V CV-2C",X94="600V CV-3C",X94="600V CV-4C"),VLOOKUP(X96,ＣＶ２３Ｃ,3,FALSE),VLOOKUP(X96,ＣＵＳＥＲ,3,FALSE)))))</f>
        <v/>
      </c>
      <c r="AS95" s="107" t="str">
        <f>IF(AD97="",AP97,AP97+(AD97/1000))</f>
        <v/>
      </c>
      <c r="AT95" s="110" t="str">
        <f>IF(AU97="",AT97,AU97)</f>
        <v/>
      </c>
      <c r="AU95" s="110" t="str">
        <f>IF(D94="","",IF(AND(D158="",D162&lt;&gt;"",AV97=AV165),AT163,IF(AND(D158="",D162="",D166&lt;&gt;"",AV161=AV169),AT167,IF(AND(D158="",D162="",D166="",D170&lt;&gt;"",AV165=AV173),AT171,IF(AND(D158="",D162="",D166="",D170="",D174&lt;&gt;"",AV169=AV177),AT175,IF(AND(D158="",D162="",D166="",D170="",D174="",D178&lt;&gt;"",AV173=AV181),AT179,IF(AND(D158="",D162="",D166="",D170="",D174="",D178="",D182&lt;&gt;"",AV177=AV185),AT183,"")))))))</f>
        <v/>
      </c>
      <c r="AV95" s="109" t="str">
        <f>IF(L94="発電機",IF(ISNA(VLOOKUP(L96,ＡＣＧ,3,FALSE)),0,VLOOKUP(L96,ＡＣＧ,3,FALSE)*BA97/50),"")</f>
        <v/>
      </c>
      <c r="AW95" s="111" t="str">
        <f>IF(AT95="","",(AT95-AP94*(AT94^2+AT95^2))/((AT94*AP94)^2+(AP94*AT95-1)^2))</f>
        <v/>
      </c>
      <c r="AX95" s="112"/>
      <c r="AY95" s="113">
        <f>IF(N(AY97)=10^30,10^30,IF(N(AY161)=10^30,(N(AY97)*(N(AY160)^2+N(AY161)^2)+N(AY161)*(N(AY96)^2+N(AY97)^2))/((N(AY96)+N(AY160))^2+(N(AY97)+N(AY161))^2),(N(AY97)*(N(AY158)^2+N(AY159)^2)+N(AY159)*(N(AY96)^2+N(AY97)^2))/((N(AY96)+N(AY158))^2+(N(AY97)+N(AY159))^2)))</f>
        <v>1E+30</v>
      </c>
      <c r="AZ95" s="52"/>
      <c r="BA95" s="114">
        <f>IF(AND(H94="",SUM(S94:S97)&lt;&gt;0),BA91,H94)</f>
        <v>0</v>
      </c>
      <c r="BB95" s="115">
        <f>IF(AND(BA94=3,S95&lt;&gt;""),1,0)</f>
        <v>0</v>
      </c>
      <c r="BC95" s="52"/>
      <c r="BD95" s="52"/>
      <c r="BH95" s="162"/>
      <c r="BI95" s="162"/>
      <c r="BJ95" s="4"/>
      <c r="BK95" s="4"/>
    </row>
    <row r="96" spans="1:63" ht="15" customHeight="1" x14ac:dyDescent="0.15">
      <c r="A96" s="159"/>
      <c r="B96" s="159"/>
      <c r="C96" s="245"/>
      <c r="D96" s="432"/>
      <c r="E96" s="448"/>
      <c r="F96" s="438"/>
      <c r="G96" s="438"/>
      <c r="H96" s="438"/>
      <c r="I96" s="438"/>
      <c r="J96" s="438"/>
      <c r="K96" s="439"/>
      <c r="L96" s="440"/>
      <c r="M96" s="441"/>
      <c r="N96" s="437"/>
      <c r="O96" s="171"/>
      <c r="P96" s="196"/>
      <c r="Q96" s="177"/>
      <c r="R96" s="173"/>
      <c r="S96" s="174" t="str">
        <f t="shared" si="3"/>
        <v/>
      </c>
      <c r="T96" s="175"/>
      <c r="U96" s="178" t="str">
        <f>IF(OR(BA96="",S96=""),"",S96*1000*T96/(SQRT(BA94)*BA96))</f>
        <v/>
      </c>
      <c r="V96" s="179" t="str">
        <f>IF(AND(N(U94)=0,N(U95)=0,N(U96)=0,N(U97)=0),"",V94*(P94*R94*T94+P95*R95*T95+P96*R96*T96+P97*R97*T97)/(P94*T94+P95*T95+P96*T96+P97*T97))</f>
        <v/>
      </c>
      <c r="W96" s="209" t="str">
        <f>IF(AND(N(AP96)=0,N(AP97)=0,N(AP95)=0),"",IF(AP97&gt;=0,COS(ATAN(AP97/AP96)),-COS(ATAN(AP97/AP96))))</f>
        <v/>
      </c>
      <c r="X96" s="180"/>
      <c r="Y96" s="181"/>
      <c r="Z96" s="182"/>
      <c r="AA96" s="183"/>
      <c r="AB96" s="184"/>
      <c r="AC96" s="181"/>
      <c r="AD96" s="182"/>
      <c r="AE96" s="185"/>
      <c r="AF96" s="136" t="str">
        <f>IF(OR(AF94="",AG90&lt;&gt;""),"",BA96/SQRT(AW96^2+AW97^2))</f>
        <v/>
      </c>
      <c r="AG96" s="205" t="str">
        <f>IF(AG94="","",100*((BA96/AQ95)-AG94)/(BA96/AQ95))</f>
        <v/>
      </c>
      <c r="AH96" s="206"/>
      <c r="AI96" s="208"/>
      <c r="AJ96" s="211"/>
      <c r="AK96" s="213"/>
      <c r="AL96" s="137"/>
      <c r="AM96" s="59"/>
      <c r="AN96" s="138" t="b">
        <f>IF(BA94="","",IF(AND(BA94=3,F96=50,L94="油入自冷"),VLOOKUP(L96,変３,2,FALSE),IF(AND(BA94=3,F96=50,L94="モ－ルド絶縁"),VLOOKUP(L96,変３,7,FALSE),IF(AND(BA94=3,F96=60,L94="油入自冷"),VLOOKUP(L96,変３,12,FALSE),IF(AND(BA94=3,F96=60,L94="モ－ルド絶縁"),VLOOKUP(L96,変３,17,FALSE),FALSE)))))</f>
        <v>0</v>
      </c>
      <c r="AO96" s="109" t="str">
        <f>IF(AND(L90="",N(AY94)&lt;10^29),AY94,"")</f>
        <v/>
      </c>
      <c r="AP96" s="139" t="str">
        <f>IF(V94="","",IF(AND(N(V96)=0,N(AP95)=0),"",AQ96/((AQ96*AP95)^2+(AP95*AQ97-1)^2)))</f>
        <v/>
      </c>
      <c r="AQ96" s="107">
        <f>IF(N(V96)=0,10^30,V96)</f>
        <v>1E+30</v>
      </c>
      <c r="AR96" s="109" t="str">
        <f>IF(AB94="","",IF(AB94="600V IV",VLOOKUP(AB96,ＩＶ,2,FALSE),IF(AB94="600V CV-T",VLOOKUP(AB96,ＣＶＴ,2,FALSE),IF(OR(AB94="600V CV-1C",AB94="600V CV-2C",AB94="600V CV-3C",AB94="600V CV-4C"),VLOOKUP(AB96,ＣＶ２３Ｃ,2,FALSE),VLOOKUP(AB96,ＣＵＳＥＲ,2,FALSE)))))</f>
        <v/>
      </c>
      <c r="AS96" s="107" t="str">
        <f>IF(OR(AND(AS158="",AS159=""),AND(D94="",D158&lt;&gt;"")),AS94,(AS94*(AT158^2+AT159^2)+AT158*(AS94^2+AS95^2))/((AS94+AT158)^2+(AS95+AT159)^2))</f>
        <v/>
      </c>
      <c r="AT96" s="110" t="str">
        <f>IF(X97="",AS96,N(AS96)+(X97/1000))</f>
        <v/>
      </c>
      <c r="AU96" s="110" t="str">
        <f>IF(AU94="","",(AT96*(AU94^2+AU95^2)+AU94*(AT96^2+AT97^2))/((AT96+AU94)^2+(AT97+AU95)^2))</f>
        <v/>
      </c>
      <c r="AV96" s="110">
        <f>IF(BA96=0,1,0)</f>
        <v>1</v>
      </c>
      <c r="AW96" s="111" t="str">
        <f>IF(AO96="","",AW94+AO96)</f>
        <v/>
      </c>
      <c r="AX96" s="112" t="str">
        <f>IF(AND(AX92="",AW96&lt;&gt;""),BA96*SQRT(AW94^2+AW95^2)/SQRT(AW96^2+AW97^2),IF(BA96&lt;&gt;0,AX92,""))</f>
        <v/>
      </c>
      <c r="AY96" s="140">
        <f>IF(L96="",10^30,SQRT(BA94)*(BA96^2)*(N(AN94)+N(AN96)+N(AO94)+N(AV94))/(100000*L96*M94))</f>
        <v>1E+30</v>
      </c>
      <c r="AZ96" s="141"/>
      <c r="BA96" s="114">
        <f>IF(AND(J94="",SUM(S94:S97)&lt;&gt;0),BA92,J94)</f>
        <v>0</v>
      </c>
      <c r="BB96" s="115">
        <f>IF(AND(BA94=3,S96&lt;&gt;""),1,0)</f>
        <v>0</v>
      </c>
      <c r="BC96" s="52"/>
      <c r="BD96" s="52"/>
      <c r="BH96" s="162"/>
      <c r="BI96" s="162"/>
      <c r="BJ96" s="4"/>
      <c r="BK96" s="4"/>
    </row>
    <row r="97" spans="1:63" ht="15" customHeight="1" x14ac:dyDescent="0.15">
      <c r="A97" s="159"/>
      <c r="B97" s="159"/>
      <c r="C97" s="245"/>
      <c r="D97" s="442"/>
      <c r="E97" s="449"/>
      <c r="F97" s="444"/>
      <c r="G97" s="444"/>
      <c r="H97" s="444"/>
      <c r="I97" s="444"/>
      <c r="J97" s="444"/>
      <c r="K97" s="445"/>
      <c r="L97" s="238" t="str">
        <f>IF(M94="","",L96*1000*M94/(SQRT(BA94)*BA96))</f>
        <v/>
      </c>
      <c r="M97" s="239"/>
      <c r="N97" s="446"/>
      <c r="O97" s="186"/>
      <c r="P97" s="197"/>
      <c r="Q97" s="187"/>
      <c r="R97" s="188"/>
      <c r="S97" s="189" t="str">
        <f t="shared" si="3"/>
        <v/>
      </c>
      <c r="T97" s="190"/>
      <c r="U97" s="191" t="str">
        <f>IF(OR(BA96="",S97=""),"",S97*1000*T97/(SQRT(BA94)*BA96))</f>
        <v/>
      </c>
      <c r="V97" s="192" t="str">
        <f>IF(AND(N(U94)=0,N(U95)=0,N(U96)=0,N(U97)=0),"",IF(V94&gt;=0,SQRT(ABS(V94^2-V96^2)),-SQRT(V94^2-V96^2)))</f>
        <v/>
      </c>
      <c r="W97" s="210"/>
      <c r="X97" s="215" t="str">
        <f>IF(Y96="","",AQ94*Z96*AR94*((1+0.00393*(F97-20))/1.2751)/Y96)</f>
        <v/>
      </c>
      <c r="Y97" s="216"/>
      <c r="Z97" s="217" t="str">
        <f>IF(Y96="","",(BA97/50)*AQ94*Z96*AR95/Y96)</f>
        <v/>
      </c>
      <c r="AA97" s="218"/>
      <c r="AB97" s="219" t="str">
        <f>IF(AC96="","",AQ94*AD96*AR96*((1+0.00393*(F97-20))/1.2751)/AC96)</f>
        <v/>
      </c>
      <c r="AC97" s="216"/>
      <c r="AD97" s="217" t="str">
        <f>IF(AC96="","",(BA97/50)*AQ94*AD96*AR97/AC96)</f>
        <v/>
      </c>
      <c r="AE97" s="242"/>
      <c r="AF97" s="150" t="str">
        <f>IF(AND(AX94&lt;&gt;"",D94=""),AX94,"")</f>
        <v/>
      </c>
      <c r="AG97" s="243" t="str">
        <f>IF(AP96="","",AP96)</f>
        <v/>
      </c>
      <c r="AH97" s="244"/>
      <c r="AI97" s="151" t="str">
        <f>IF(AP97="","",AP97)</f>
        <v/>
      </c>
      <c r="AJ97" s="212"/>
      <c r="AK97" s="214"/>
      <c r="AL97" s="152"/>
      <c r="AM97" s="59"/>
      <c r="AN97" s="153" t="b">
        <f>IF(BA94="","",IF(AND(BA94=3,F96=50,L94="油入自冷"),VLOOKUP(L96,変３,3,FALSE),IF(AND(BA94=3,F96=50,L94="モ－ルド絶縁"),VLOOKUP(L96,変３,8,FALSE),IF(AND(BA94=3,F96=60,L94="油入自冷"),VLOOKUP(L96,変３,13,FALSE),IF(AND(BA94=3,F96=60,L94="モ－ルド絶縁"),VLOOKUP(L96,変３,18,FALSE),FALSE)))))</f>
        <v>0</v>
      </c>
      <c r="AO97" s="153" t="str">
        <f>IF(AND(L90="",N(AY95)&lt;10^29),AY95,"")</f>
        <v/>
      </c>
      <c r="AP97" s="154" t="str">
        <f>IF(V94="","",IF(AND(N(V97)=0,N(AP95)=0),0,(AQ97-AP95*(AQ96^2+AQ97^2))/((AQ96*AP95)^2+(AP95*AQ97-1)^2)))</f>
        <v/>
      </c>
      <c r="AQ97" s="155">
        <f>IF(N(V97)=0,10^30,V97)</f>
        <v>1E+30</v>
      </c>
      <c r="AR97" s="153" t="str">
        <f>IF(AB94="","",IF(AB94="600V IV",VLOOKUP(AB96,ＩＶ,3,FALSE),IF(AB94="600V CV-T",VLOOKUP(AB96,ＣＶＴ,3,FALSE),IF(OR(AB94="600V CV-1C",AB94="600V CV-2C",AB94="600V CV-3C",AB94="600V CV-4C"),VLOOKUP(AB96,ＣＶ２３Ｃ,3,FALSE),VLOOKUP(AB96,ＣＵＳＥＲ,3,FALSE)))))</f>
        <v/>
      </c>
      <c r="AS97" s="155" t="str">
        <f>IF(OR(AND(AS158="",AS159=""),AND(D94="",D158&lt;&gt;"")),AS95,(AS95*(AT158^2+AT159^2)+AT159*(AS94^2+AS95^2))/((AS94+AT158)^2+(AS95+AT159)^2))</f>
        <v/>
      </c>
      <c r="AT97" s="156" t="str">
        <f>IF(Z97="",AS97,N(AS97)+(Z97/1000))</f>
        <v/>
      </c>
      <c r="AU97" s="156" t="str">
        <f>IF(AU95="","",(AT97*(AU94^2+AU95^2)+AU95*(AT96^2+AT97^2))/((AT96+AU94)^2+(AT97+AU95)^2))</f>
        <v/>
      </c>
      <c r="AV97" s="156">
        <f>AV93+AV96</f>
        <v>6</v>
      </c>
      <c r="AW97" s="155" t="str">
        <f>IF(AO97="","",AW95+AO97)</f>
        <v/>
      </c>
      <c r="AX97" s="157"/>
      <c r="AY97" s="140">
        <f>IF(L96="",10^30,SQRT(BA94)*(BA96^2)*(N(AN95)+N(AN97)+N(AO95)+N(AV95))/(100000*L96*M94))</f>
        <v>1E+30</v>
      </c>
      <c r="AZ97" s="141"/>
      <c r="BA97" s="114">
        <f>IF(AND(F96="",SUM(S94:S97)&lt;&gt;0),BA93,F96)</f>
        <v>0</v>
      </c>
      <c r="BB97" s="115">
        <f>IF(AND(BA94=3,S97&lt;&gt;""),1,0)</f>
        <v>0</v>
      </c>
      <c r="BC97" s="52"/>
      <c r="BD97" s="52"/>
      <c r="BH97" s="162"/>
      <c r="BI97" s="162"/>
      <c r="BJ97" s="4"/>
      <c r="BK97" s="4"/>
    </row>
    <row r="98" spans="1:63" ht="15" customHeight="1" x14ac:dyDescent="0.15">
      <c r="A98" s="159"/>
      <c r="B98" s="159"/>
      <c r="C98" s="245" t="str">
        <f>IF(BH98=1,"●","・")</f>
        <v>・</v>
      </c>
      <c r="D98" s="425"/>
      <c r="E98" s="447"/>
      <c r="F98" s="427"/>
      <c r="G98" s="240" t="str">
        <f>IF(F98="","","φ")</f>
        <v/>
      </c>
      <c r="H98" s="428"/>
      <c r="I98" s="240" t="str">
        <f>IF(H98="","","W")</f>
        <v/>
      </c>
      <c r="J98" s="428"/>
      <c r="K98" s="246" t="str">
        <f>IF(J98="","","V")</f>
        <v/>
      </c>
      <c r="L98" s="429"/>
      <c r="M98" s="430"/>
      <c r="N98" s="431"/>
      <c r="O98" s="164"/>
      <c r="P98" s="194"/>
      <c r="Q98" s="165"/>
      <c r="R98" s="166"/>
      <c r="S98" s="167" t="str">
        <f>IF(R98="","",IF(Q98="",P98/R98,P98/(Q98*R98)))</f>
        <v/>
      </c>
      <c r="T98" s="168"/>
      <c r="U98" s="169" t="str">
        <f>IF(OR(BA100="",S98=""),"",S98*1000*T98/(SQRT(BA98)*BA100))</f>
        <v/>
      </c>
      <c r="V98" s="236" t="str">
        <f>IF(AND(N(U98)=0,N(U99)=0,N(U100)=0,N(U101)=0),"",BA100/(SUM(U98:U101)))</f>
        <v/>
      </c>
      <c r="W98" s="220"/>
      <c r="X98" s="222"/>
      <c r="Y98" s="223"/>
      <c r="Z98" s="224"/>
      <c r="AA98" s="228"/>
      <c r="AB98" s="230"/>
      <c r="AC98" s="223"/>
      <c r="AD98" s="224"/>
      <c r="AE98" s="232"/>
      <c r="AF98" s="104" t="str">
        <f>IF(OR(AND(AF94="",N(BA96)=0,BA100&lt;&gt;0),D98&lt;&gt;""),AX100/AQ99,"")</f>
        <v/>
      </c>
      <c r="AG98" s="234" t="str">
        <f>IF(BA100=0,"",IF(AD100="",AX98,IF(AND(D98&lt;&gt;"",AU98=""),AX100*SQRT(AP100^2+AP101^2)/SQRT(AS98^2+AS99^2)/AQ99,AX98*SQRT(AP100^2+AP101^2)/SQRT(AS98^2+AS99^2))))</f>
        <v/>
      </c>
      <c r="AH98" s="235"/>
      <c r="AI98" s="105" t="str">
        <f>IF(AG98="","",IF(N(U98)&lt;0,-AX98*AQ99/SQRT(AS98^2+AS99^2),AX98*AQ99/SQRT(AS98^2+AS99^2)))</f>
        <v/>
      </c>
      <c r="AJ98" s="201"/>
      <c r="AK98" s="202"/>
      <c r="AL98" s="106"/>
      <c r="AM98" s="59"/>
      <c r="AN98" s="107" t="b">
        <f>IF(BA98="","",IF(AND(BA98=1,F100=50,L98="油入自冷"),VLOOKUP(L100,変１,2,FALSE),IF(AND(BA98=1,F100=50,L98="モ－ルド絶縁"),VLOOKUP(L100,変１,7,FALSE),IF(AND(BA98=1,F100=60,L98="油入自冷"),VLOOKUP(L100,変１,12,FALSE),IF(AND(BA98=1,F100=60,L98="モ－ルド絶縁"),VLOOKUP(L100,変１,17,FALSE),FALSE)))))</f>
        <v>0</v>
      </c>
      <c r="AO98" s="107">
        <f>IF(ISNA(VLOOKUP(L100,変ＵＳＥＲ,2,FALSE)),0,VLOOKUP(L100,変ＵＳＥＲ,2,FALSE))</f>
        <v>0</v>
      </c>
      <c r="AP98" s="108">
        <f>IF(N98="",0,N98*1000/BA100^2/SQRT(BA98))</f>
        <v>0</v>
      </c>
      <c r="AQ98" s="107" t="b">
        <f>IF(BA98=1,2,IF(BA98=3,SQRT(3),FALSE))</f>
        <v>0</v>
      </c>
      <c r="AR98" s="109" t="str">
        <f>IF(X98="","",IF(X98="600V IV",VLOOKUP(X100,ＩＶ,2,FALSE),IF(X98="600V CV-T",VLOOKUP(X100,ＣＶＴ,2,FALSE),IF(OR(X98="600V CV-1C",X98="600V CV-2C",X98="600V CV-3C",X98="600V CV-4C"),VLOOKUP(X100,ＣＶ２３Ｃ,2,FALSE),VLOOKUP(X100,ＣＵＳＥＲ,2,FALSE)))))</f>
        <v/>
      </c>
      <c r="AS98" s="107" t="str">
        <f>IF(AB101="",AP100,AP100+(AB101/1000))</f>
        <v/>
      </c>
      <c r="AT98" s="110" t="str">
        <f>IF(AU100="",AT100,AU100)</f>
        <v/>
      </c>
      <c r="AU98" s="110" t="str">
        <f>IF(D98="","",IF(AND(D162="",D166&lt;&gt;"",AV101=AV169),AT166,IF(AND(D162="",D166="",D170&lt;&gt;"",AV165=AV173),AT170,IF(AND(D162="",D166="",D170="",D174&lt;&gt;"",AV169=AV177),AT174,IF(AND(D162="",D166="",D170="",D174="",D178&lt;&gt;"",AV173=AV181),AT178,IF(AND(D162="",D166="",D170="",D174="",D178="",D182&lt;&gt;"",AV177=AV185),AT182,IF(AND(D162="",D166="",D170="",D174="",D178="",D182="",D186&lt;&gt;"",AV181=AV189),AT186,"")))))))</f>
        <v/>
      </c>
      <c r="AV98" s="110" t="str">
        <f>IF(L98="発電機",IF(ISNA(VLOOKUP(L100,ＡＣＧ,2,FALSE)),0,VLOOKUP(L100,ＡＣＧ,2,FALSE)),"")</f>
        <v/>
      </c>
      <c r="AW98" s="111" t="str">
        <f>IF(AT98="","",AT98/((AT98*AP98)^2+(AT99*AP98-1)^2))</f>
        <v/>
      </c>
      <c r="AX98" s="112" t="str">
        <f>IF(BA100=0,"",IF(OR(AX34="",AF98&lt;&gt;""),AF98*SQRT(AS100^2+AS101^2)/SQRT(AT100^2+AT101^2),AX34*SQRT(AS100^2+AS101^2)/SQRT(AT100^2+AT101^2)))</f>
        <v/>
      </c>
      <c r="AY98" s="113">
        <f>IF(N(AY100)=10^30,10^30,IF(N(AY164)=10^30,(N(AY100)*(N(AY164)^2+N(AY165)^2)+N(AY164)*(N(AY100)^2+N(AY101)^2))/((N(AY100)+N(AY164))^2+(N(AY101)+N(AY165))^2),(N(AY100)*(N(AY162)^2+N(AY163)^2)+N(AY162)*(N(AY100)^2+N(AY101)^2))/((N(AY100)+N(AY162))^2+(N(AY101)+N(AY163))^2)))</f>
        <v>1E+30</v>
      </c>
      <c r="AZ98" s="52"/>
      <c r="BA98" s="114">
        <f>IF(AND(F98="",SUM(S98:S101)&lt;&gt;0),BA34,F98)</f>
        <v>0</v>
      </c>
      <c r="BB98" s="115">
        <f>IF(AND(BA98=3,S98&lt;&gt;""),1,0)</f>
        <v>0</v>
      </c>
      <c r="BC98" s="52"/>
      <c r="BD98" s="52"/>
      <c r="BH98" s="162">
        <f>IF(OR(E98="",F101="",AND(OR(P98="",Q98="",R98="",T98=""),OR(P99="",Q99="",R99="",T99=""),OR(P100="",Q100="",R100="",T100=""),OR(P101="",Q101="",R101="",T101="")),AND(OR(X98="",X100="",Y100="",Z100=""),OR(AB98="",AB100="",AC100="",AD100=""))),0,1)</f>
        <v>0</v>
      </c>
      <c r="BI98" s="162">
        <f>BH98+BI94</f>
        <v>4</v>
      </c>
      <c r="BJ98" s="4"/>
      <c r="BK98" s="4"/>
    </row>
    <row r="99" spans="1:63" ht="15" customHeight="1" x14ac:dyDescent="0.15">
      <c r="A99" s="159"/>
      <c r="B99" s="159"/>
      <c r="C99" s="245"/>
      <c r="D99" s="432"/>
      <c r="E99" s="448"/>
      <c r="F99" s="434"/>
      <c r="G99" s="241"/>
      <c r="H99" s="435"/>
      <c r="I99" s="241"/>
      <c r="J99" s="435"/>
      <c r="K99" s="247"/>
      <c r="L99" s="436"/>
      <c r="M99" s="170" t="str">
        <f>IF(L98="発電機",SQRT(AV98^2+AV99^2),IF(L100="","",IF(OR(L98="油入自冷",L98="モ－ルド絶縁"),IF(BA98=1,SQRT(AN98^2+AN99^2),IF(BA98=3,SQRT(AN100^2+AN101^2))),SQRT(AO98^2+AO99^2))))</f>
        <v/>
      </c>
      <c r="N99" s="437"/>
      <c r="O99" s="171"/>
      <c r="P99" s="195"/>
      <c r="Q99" s="172"/>
      <c r="R99" s="173"/>
      <c r="S99" s="174" t="str">
        <f t="shared" ref="S99:S117" si="4">IF(R99="","",IF(Q99="",P99/R99,P99/(Q99*R99)))</f>
        <v/>
      </c>
      <c r="T99" s="175"/>
      <c r="U99" s="176" t="str">
        <f>IF(OR(BA100="",S99=""),"",S99*1000*T99/(SQRT(BA98)*BA100))</f>
        <v/>
      </c>
      <c r="V99" s="237"/>
      <c r="W99" s="221"/>
      <c r="X99" s="225"/>
      <c r="Y99" s="226"/>
      <c r="Z99" s="227"/>
      <c r="AA99" s="229"/>
      <c r="AB99" s="231"/>
      <c r="AC99" s="226"/>
      <c r="AD99" s="227"/>
      <c r="AE99" s="233"/>
      <c r="AF99" s="124" t="str">
        <f>IF(OR(AF98="",AG94&lt;&gt;""),"",AF98*AQ99/SQRT(AT98^2+AT99^2))</f>
        <v/>
      </c>
      <c r="AG99" s="205" t="str">
        <f>IF(AG98="","",100*AG98*AQ99/BA100)</f>
        <v/>
      </c>
      <c r="AH99" s="206"/>
      <c r="AI99" s="207" t="str">
        <f>IF(BA100=0,"",IF(AI94="",AX100/SQRT(AT98^2+AT99^2),IF(AI102="","",IF(AT98&lt;0,-AX98*AQ95/SQRT(AT98^2+AT99^2),AX98*AQ95/SQRT(AT98^2+AT99^2)))))</f>
        <v/>
      </c>
      <c r="AJ99" s="203"/>
      <c r="AK99" s="204"/>
      <c r="AL99" s="125"/>
      <c r="AM99" s="59"/>
      <c r="AN99" s="107" t="b">
        <f>IF(BA98="","",IF(AND(BA98=1,F100=50,L98="油入自冷"),VLOOKUP(L100,変１,3,FALSE),IF(AND(BA98=1,F100=50,L98="モ－ルド絶縁"),VLOOKUP(L100,変１,8,FALSE),IF(AND(BA98=1,F100=60,L98="油入自冷"),VLOOKUP(L100,変１,13,FALSE),IF(AND(BA98=1,F100=60,L98="モ－ルド絶縁"),VLOOKUP(L100,変１,18,FALSE),FALSE)))))</f>
        <v>0</v>
      </c>
      <c r="AO99" s="107">
        <f>IF(ISNA(VLOOKUP(L100,変ＵＳＥＲ,3,FALSE)),0,VLOOKUP(L100,変ＵＳＥＲ,3,FALSE)*BA101/50)</f>
        <v>0</v>
      </c>
      <c r="AP99" s="108">
        <f>IF(W98="",0,W98*1000/BA100^2/SQRT(BA98))</f>
        <v>0</v>
      </c>
      <c r="AQ99" s="107">
        <f>IF(AND(BA98=1,BA99=2),1,IF(AND(BA98=3,BA99=3),1,IF(AND(BA98=1,BA99=3),2,IF(AND(BA98=3,BA99=4)*OR(BB98=1,BB99=1,BB100=1,BB101=1),1,SQRT(3)))))</f>
        <v>1.7320508075688772</v>
      </c>
      <c r="AR99" s="109" t="str">
        <f>IF(X98="","",IF(X98="600V IV",VLOOKUP(X100,ＩＶ,3,FALSE),IF(X98="600V CV-T",VLOOKUP(X100,ＣＶＴ,3,FALSE),IF(OR(X98="600V CV-1C",X98="600V CV-2C",X98="600V CV-3C",X98="600V CV-4C"),VLOOKUP(X100,ＣＶ２３Ｃ,3,FALSE),VLOOKUP(X100,ＣＵＳＥＲ,3,FALSE)))))</f>
        <v/>
      </c>
      <c r="AS99" s="107" t="str">
        <f>IF(AD101="",AP101,AP101+(AD101/1000))</f>
        <v/>
      </c>
      <c r="AT99" s="110" t="str">
        <f>IF(AU101="",AT101,AU101)</f>
        <v/>
      </c>
      <c r="AU99" s="110" t="str">
        <f>IF(D98="","",IF(AND(D162="",D166&lt;&gt;"",AV101=AV169),AT167,IF(AND(D162="",D166="",D170&lt;&gt;"",AV165=AV173),AT171,IF(AND(D162="",D166="",D170="",D174&lt;&gt;"",AV169=AV177),AT175,IF(AND(D162="",D166="",D170="",D174="",D178&lt;&gt;"",AV173=AV181),AT179,IF(AND(D162="",D166="",D170="",D174="",D178="",D182&lt;&gt;"",AV177=AV185),AT183,IF(AND(D162="",D166="",D170="",D174="",D178="",D182="",D186&lt;&gt;"",AV181=AV189),AT187,"")))))))</f>
        <v/>
      </c>
      <c r="AV99" s="109" t="str">
        <f>IF(L98="発電機",IF(ISNA(VLOOKUP(L100,ＡＣＧ,3,FALSE)),0,VLOOKUP(L100,ＡＣＧ,3,FALSE)*BA101/50),"")</f>
        <v/>
      </c>
      <c r="AW99" s="111" t="str">
        <f>IF(AT99="","",(AT99-AP98*(AT98^2+AT99^2))/((AT98*AP98)^2+(AP98*AT99-1)^2))</f>
        <v/>
      </c>
      <c r="AX99" s="112"/>
      <c r="AY99" s="113">
        <f>IF(N(AY101)=10^30,10^30,IF(N(AY165)=10^30,(N(AY101)*(N(AY164)^2+N(AY165)^2)+N(AY165)*(N(AY100)^2+N(AY101)^2))/((N(AY100)+N(AY164))^2+(N(AY101)+N(AY165))^2),(N(AY101)*(N(AY162)^2+N(AY163)^2)+N(AY163)*(N(AY100)^2+N(AY101)^2))/((N(AY100)+N(AY162))^2+(N(AY101)+N(AY163))^2)))</f>
        <v>1E+30</v>
      </c>
      <c r="AZ99" s="52"/>
      <c r="BA99" s="114">
        <f>IF(AND(H98="",SUM(S98:S101)&lt;&gt;0),BA35,H98)</f>
        <v>0</v>
      </c>
      <c r="BB99" s="115">
        <f>IF(AND(BA98=3,S99&lt;&gt;""),1,0)</f>
        <v>0</v>
      </c>
      <c r="BC99" s="52"/>
      <c r="BD99" s="52"/>
      <c r="BH99" s="162"/>
      <c r="BI99" s="162"/>
      <c r="BJ99" s="4"/>
      <c r="BK99" s="4"/>
    </row>
    <row r="100" spans="1:63" ht="15" customHeight="1" x14ac:dyDescent="0.15">
      <c r="A100" s="159"/>
      <c r="B100" s="159"/>
      <c r="C100" s="245"/>
      <c r="D100" s="432"/>
      <c r="E100" s="448"/>
      <c r="F100" s="438"/>
      <c r="G100" s="438"/>
      <c r="H100" s="438"/>
      <c r="I100" s="438"/>
      <c r="J100" s="438"/>
      <c r="K100" s="439"/>
      <c r="L100" s="440"/>
      <c r="M100" s="441"/>
      <c r="N100" s="437"/>
      <c r="O100" s="171"/>
      <c r="P100" s="196"/>
      <c r="Q100" s="177"/>
      <c r="R100" s="173"/>
      <c r="S100" s="174" t="str">
        <f t="shared" si="4"/>
        <v/>
      </c>
      <c r="T100" s="175"/>
      <c r="U100" s="178" t="str">
        <f>IF(OR(BA100="",S100=""),"",S100*1000*T100/(SQRT(BA98)*BA100))</f>
        <v/>
      </c>
      <c r="V100" s="179" t="str">
        <f>IF(AND(N(U98)=0,N(U99)=0,N(U100)=0,N(U101)=0),"",V98*(P98*R98*T98+P99*R99*T99+P100*R100*T100+P101*R101*T101)/(P98*T98+P99*T99+P100*T100+P101*T101))</f>
        <v/>
      </c>
      <c r="W100" s="209" t="str">
        <f>IF(AND(N(AP100)=0,N(AP101)=0,N(AP99)=0),"",IF(AP101&gt;=0,COS(ATAN(AP101/AP100)),-COS(ATAN(AP101/AP100))))</f>
        <v/>
      </c>
      <c r="X100" s="180"/>
      <c r="Y100" s="181"/>
      <c r="Z100" s="182"/>
      <c r="AA100" s="183"/>
      <c r="AB100" s="184"/>
      <c r="AC100" s="181"/>
      <c r="AD100" s="182"/>
      <c r="AE100" s="185"/>
      <c r="AF100" s="136" t="str">
        <f>IF(OR(AF98="",AG94&lt;&gt;""),"",BA100/SQRT(AW100^2+AW101^2))</f>
        <v/>
      </c>
      <c r="AG100" s="205" t="str">
        <f>IF(AG98="","",100*((BA100/AQ99)-AG98)/(BA100/AQ99))</f>
        <v/>
      </c>
      <c r="AH100" s="206"/>
      <c r="AI100" s="208"/>
      <c r="AJ100" s="211"/>
      <c r="AK100" s="213"/>
      <c r="AL100" s="137"/>
      <c r="AM100" s="59"/>
      <c r="AN100" s="138" t="b">
        <f>IF(BA98="","",IF(AND(BA98=3,F100=50,L98="油入自冷"),VLOOKUP(L100,変３,2,FALSE),IF(AND(BA98=3,F100=50,L98="モ－ルド絶縁"),VLOOKUP(L100,変３,7,FALSE),IF(AND(BA98=3,F100=60,L98="油入自冷"),VLOOKUP(L100,変３,12,FALSE),IF(AND(BA98=3,F100=60,L98="モ－ルド絶縁"),VLOOKUP(L100,変３,17,FALSE),FALSE)))))</f>
        <v>0</v>
      </c>
      <c r="AO100" s="109" t="str">
        <f>IF(AND(L34="",N(AY98)&lt;10^29),AY98,"")</f>
        <v/>
      </c>
      <c r="AP100" s="139" t="str">
        <f>IF(V98="","",IF(AND(N(V100)=0,N(AP99)=0),"",AQ100/((AQ100*AP99)^2+(AP99*AQ101-1)^2)))</f>
        <v/>
      </c>
      <c r="AQ100" s="107">
        <f>IF(N(V100)=0,10^30,V100)</f>
        <v>1E+30</v>
      </c>
      <c r="AR100" s="109" t="str">
        <f>IF(AB98="","",IF(AB98="600V IV",VLOOKUP(AB100,ＩＶ,2,FALSE),IF(AB98="600V CV-T",VLOOKUP(AB100,ＣＶＴ,2,FALSE),IF(OR(AB98="600V CV-1C",AB98="600V CV-2C",AB98="600V CV-3C",AB98="600V CV-4C"),VLOOKUP(AB100,ＣＶ２３Ｃ,2,FALSE),VLOOKUP(AB100,ＣＵＳＥＲ,2,FALSE)))))</f>
        <v/>
      </c>
      <c r="AS100" s="107" t="str">
        <f>IF(OR(AND(AS162="",AS163=""),AND(D98="",D162&lt;&gt;"")),AS98,(AS98*(AT162^2+AT163^2)+AT162*(AS98^2+AS99^2))/((AS98+AT162)^2+(AS99+AT163)^2))</f>
        <v/>
      </c>
      <c r="AT100" s="110" t="str">
        <f>IF(X101="",AS100,N(AS100)+(X101/1000))</f>
        <v/>
      </c>
      <c r="AU100" s="110" t="str">
        <f>IF(AU98="","",(AT100*(AU98^2+AU99^2)+AU98*(AT100^2+AT101^2))/((AT100+AU98)^2+(AT101+AU99)^2))</f>
        <v/>
      </c>
      <c r="AV100" s="110">
        <f>IF(BA100=0,1,0)</f>
        <v>1</v>
      </c>
      <c r="AW100" s="111" t="str">
        <f>IF(AO100="","",AW98+AO100)</f>
        <v/>
      </c>
      <c r="AX100" s="112" t="str">
        <f>IF(AND(AX36="",AW100&lt;&gt;""),BA100*SQRT(AW98^2+AW99^2)/SQRT(AW100^2+AW101^2),IF(BA100&lt;&gt;0,AX36,""))</f>
        <v/>
      </c>
      <c r="AY100" s="140">
        <f>IF(L100="",10^30,SQRT(BA98)*(BA100^2)*(N(AN98)+N(AN100)+N(AO98)+N(AV98))/(100000*L100*M98))</f>
        <v>1E+30</v>
      </c>
      <c r="AZ100" s="141"/>
      <c r="BA100" s="114">
        <f>IF(AND(J98="",SUM(S98:S101)&lt;&gt;0),BA36,J98)</f>
        <v>0</v>
      </c>
      <c r="BB100" s="115">
        <f>IF(AND(BA98=3,S100&lt;&gt;""),1,0)</f>
        <v>0</v>
      </c>
      <c r="BC100" s="52"/>
      <c r="BD100" s="52"/>
      <c r="BH100" s="162"/>
      <c r="BI100" s="162"/>
      <c r="BJ100" s="4"/>
      <c r="BK100" s="4"/>
    </row>
    <row r="101" spans="1:63" ht="15" customHeight="1" x14ac:dyDescent="0.15">
      <c r="A101" s="159"/>
      <c r="B101" s="159"/>
      <c r="C101" s="245"/>
      <c r="D101" s="442"/>
      <c r="E101" s="449"/>
      <c r="F101" s="444"/>
      <c r="G101" s="444"/>
      <c r="H101" s="444"/>
      <c r="I101" s="444"/>
      <c r="J101" s="444"/>
      <c r="K101" s="445"/>
      <c r="L101" s="238" t="str">
        <f>IF(M98="","",L100*1000*M98/(SQRT(BA98)*BA100))</f>
        <v/>
      </c>
      <c r="M101" s="239"/>
      <c r="N101" s="446"/>
      <c r="O101" s="186"/>
      <c r="P101" s="197"/>
      <c r="Q101" s="187"/>
      <c r="R101" s="188"/>
      <c r="S101" s="189" t="str">
        <f t="shared" si="4"/>
        <v/>
      </c>
      <c r="T101" s="190"/>
      <c r="U101" s="191" t="str">
        <f>IF(OR(BA100="",S101=""),"",S101*1000*T101/(SQRT(BA98)*BA100))</f>
        <v/>
      </c>
      <c r="V101" s="192" t="str">
        <f>IF(AND(N(U98)=0,N(U99)=0,N(U100)=0,N(U101)=0),"",IF(V98&gt;=0,SQRT(ABS(V98^2-V100^2)),-SQRT(V98^2-V100^2)))</f>
        <v/>
      </c>
      <c r="W101" s="210"/>
      <c r="X101" s="215" t="str">
        <f>IF(Y100="","",AQ98*Z100*AR98*((1+0.00393*(F101-20))/1.2751)/Y100)</f>
        <v/>
      </c>
      <c r="Y101" s="216"/>
      <c r="Z101" s="217" t="str">
        <f>IF(Y100="","",(BA101/50)*AQ98*Z100*AR99/Y100)</f>
        <v/>
      </c>
      <c r="AA101" s="218"/>
      <c r="AB101" s="219" t="str">
        <f>IF(AC100="","",AQ98*AD100*AR100*((1+0.00393*(F101-20))/1.2751)/AC100)</f>
        <v/>
      </c>
      <c r="AC101" s="216"/>
      <c r="AD101" s="217" t="str">
        <f>IF(AC100="","",(BA101/50)*AQ98*AD100*AR101/AC100)</f>
        <v/>
      </c>
      <c r="AE101" s="242"/>
      <c r="AF101" s="150" t="str">
        <f>IF(AND(AX98&lt;&gt;"",D98=""),AX98,"")</f>
        <v/>
      </c>
      <c r="AG101" s="243" t="str">
        <f>IF(AP100="","",AP100)</f>
        <v/>
      </c>
      <c r="AH101" s="244"/>
      <c r="AI101" s="151" t="str">
        <f>IF(AP101="","",AP101)</f>
        <v/>
      </c>
      <c r="AJ101" s="212"/>
      <c r="AK101" s="214"/>
      <c r="AL101" s="152"/>
      <c r="AM101" s="59"/>
      <c r="AN101" s="153" t="b">
        <f>IF(BA98="","",IF(AND(BA98=3,F100=50,L98="油入自冷"),VLOOKUP(L100,変３,3,FALSE),IF(AND(BA98=3,F100=50,L98="モ－ルド絶縁"),VLOOKUP(L100,変３,8,FALSE),IF(AND(BA98=3,F100=60,L98="油入自冷"),VLOOKUP(L100,変３,13,FALSE),IF(AND(BA98=3,F100=60,L98="モ－ルド絶縁"),VLOOKUP(L100,変３,18,FALSE),FALSE)))))</f>
        <v>0</v>
      </c>
      <c r="AO101" s="153" t="str">
        <f>IF(AND(L34="",N(AY99)&lt;10^29),AY99,"")</f>
        <v/>
      </c>
      <c r="AP101" s="154" t="str">
        <f>IF(V98="","",IF(AND(N(V101)=0,N(AP99)=0),0,(AQ101-AP99*(AQ100^2+AQ101^2))/((AQ100*AP99)^2+(AP99*AQ101-1)^2)))</f>
        <v/>
      </c>
      <c r="AQ101" s="155">
        <f>IF(N(V101)=0,10^30,V101)</f>
        <v>1E+30</v>
      </c>
      <c r="AR101" s="153" t="str">
        <f>IF(AB98="","",IF(AB98="600V IV",VLOOKUP(AB100,ＩＶ,3,FALSE),IF(AB98="600V CV-T",VLOOKUP(AB100,ＣＶＴ,3,FALSE),IF(OR(AB98="600V CV-1C",AB98="600V CV-2C",AB98="600V CV-3C",AB98="600V CV-4C"),VLOOKUP(AB100,ＣＶ２３Ｃ,3,FALSE),VLOOKUP(AB100,ＣＵＳＥＲ,3,FALSE)))))</f>
        <v/>
      </c>
      <c r="AS101" s="155" t="str">
        <f>IF(OR(AND(AS162="",AS163=""),AND(D98="",D162&lt;&gt;"")),AS99,(AS99*(AT162^2+AT163^2)+AT163*(AS98^2+AS99^2))/((AS98+AT162)^2+(AS99+AT163)^2))</f>
        <v/>
      </c>
      <c r="AT101" s="156" t="str">
        <f>IF(Z101="",AS101,N(AS101)+(Z101/1000))</f>
        <v/>
      </c>
      <c r="AU101" s="156" t="str">
        <f>IF(AU99="","",(AT101*(AU98^2+AU99^2)+AU99*(AT100^2+AT101^2))/((AT100+AU98)^2+(AT101+AU99)^2))</f>
        <v/>
      </c>
      <c r="AV101" s="156">
        <f>AV37+AV100</f>
        <v>3</v>
      </c>
      <c r="AW101" s="155" t="str">
        <f>IF(AO101="","",AW99+AO101)</f>
        <v/>
      </c>
      <c r="AX101" s="157"/>
      <c r="AY101" s="140">
        <f>IF(L100="",10^30,SQRT(BA98)*(BA100^2)*(N(AN99)+N(AN101)+N(AO99)+N(AV99))/(100000*L100*M98))</f>
        <v>1E+30</v>
      </c>
      <c r="AZ101" s="141"/>
      <c r="BA101" s="114">
        <f>IF(AND(F100="",SUM(S98:S101)&lt;&gt;0),BA37,F100)</f>
        <v>0</v>
      </c>
      <c r="BB101" s="115">
        <f>IF(AND(BA98=3,S101&lt;&gt;""),1,0)</f>
        <v>0</v>
      </c>
      <c r="BC101" s="52"/>
      <c r="BD101" s="52"/>
      <c r="BH101" s="162"/>
      <c r="BI101" s="162"/>
      <c r="BJ101" s="4"/>
      <c r="BK101" s="4"/>
    </row>
    <row r="102" spans="1:63" ht="15" customHeight="1" x14ac:dyDescent="0.15">
      <c r="A102" s="159"/>
      <c r="B102" s="159"/>
      <c r="C102" s="245" t="str">
        <f>IF(BH102=1,"●","・")</f>
        <v>・</v>
      </c>
      <c r="D102" s="425"/>
      <c r="E102" s="447"/>
      <c r="F102" s="427"/>
      <c r="G102" s="240" t="str">
        <f>IF(F102="","","φ")</f>
        <v/>
      </c>
      <c r="H102" s="428"/>
      <c r="I102" s="240" t="str">
        <f>IF(H102="","","W")</f>
        <v/>
      </c>
      <c r="J102" s="428"/>
      <c r="K102" s="246" t="str">
        <f>IF(J102="","","V")</f>
        <v/>
      </c>
      <c r="L102" s="429"/>
      <c r="M102" s="430"/>
      <c r="N102" s="431"/>
      <c r="O102" s="164"/>
      <c r="P102" s="194"/>
      <c r="Q102" s="165"/>
      <c r="R102" s="166"/>
      <c r="S102" s="167" t="str">
        <f>IF(R102="","",IF(Q102="",P102/R102,P102/(Q102*R102)))</f>
        <v/>
      </c>
      <c r="T102" s="168"/>
      <c r="U102" s="169" t="str">
        <f>IF(OR(BA104="",S102=""),"",S102*1000*T102/(SQRT(BA102)*BA104))</f>
        <v/>
      </c>
      <c r="V102" s="236" t="str">
        <f>IF(AND(N(U102)=0,N(U103)=0,N(U104)=0,N(U105)=0),"",BA104/(SUM(U102:U105)))</f>
        <v/>
      </c>
      <c r="W102" s="220"/>
      <c r="X102" s="222"/>
      <c r="Y102" s="223"/>
      <c r="Z102" s="224"/>
      <c r="AA102" s="228"/>
      <c r="AB102" s="230"/>
      <c r="AC102" s="223"/>
      <c r="AD102" s="224"/>
      <c r="AE102" s="232"/>
      <c r="AF102" s="104" t="str">
        <f>IF(OR(AND(AF98="",N(BA100)=0,BA104&lt;&gt;0),D102&lt;&gt;""),AX104/AQ103,"")</f>
        <v/>
      </c>
      <c r="AG102" s="234" t="str">
        <f>IF(BA104=0,"",IF(AD104="",AX102,IF(AND(D102&lt;&gt;"",AU102=""),AX104*SQRT(AP104^2+AP105^2)/SQRT(AS102^2+AS103^2)/AQ103,AX102*SQRT(AP104^2+AP105^2)/SQRT(AS102^2+AS103^2))))</f>
        <v/>
      </c>
      <c r="AH102" s="235"/>
      <c r="AI102" s="105" t="str">
        <f>IF(AG102="","",IF(N(U102)&lt;0,-AX102*AQ103/SQRT(AS102^2+AS103^2),AX102*AQ103/SQRT(AS102^2+AS103^2)))</f>
        <v/>
      </c>
      <c r="AJ102" s="201"/>
      <c r="AK102" s="202"/>
      <c r="AL102" s="106"/>
      <c r="AM102" s="59"/>
      <c r="AN102" s="107" t="b">
        <f>IF(BA102="","",IF(AND(BA102=1,F104=50,L102="油入自冷"),VLOOKUP(L104,変１,2,FALSE),IF(AND(BA102=1,F104=50,L102="モ－ルド絶縁"),VLOOKUP(L104,変１,7,FALSE),IF(AND(BA102=1,F104=60,L102="油入自冷"),VLOOKUP(L104,変１,12,FALSE),IF(AND(BA102=1,F104=60,L102="モ－ルド絶縁"),VLOOKUP(L104,変１,17,FALSE),FALSE)))))</f>
        <v>0</v>
      </c>
      <c r="AO102" s="107">
        <f>IF(ISNA(VLOOKUP(L104,変ＵＳＥＲ,2,FALSE)),0,VLOOKUP(L104,変ＵＳＥＲ,2,FALSE))</f>
        <v>0</v>
      </c>
      <c r="AP102" s="108">
        <f>IF(N102="",0,N102*1000/BA104^2/SQRT(BA102))</f>
        <v>0</v>
      </c>
      <c r="AQ102" s="107" t="b">
        <f>IF(BA102=1,2,IF(BA102=3,SQRT(3),FALSE))</f>
        <v>0</v>
      </c>
      <c r="AR102" s="109" t="str">
        <f>IF(X102="","",IF(X102="600V IV",VLOOKUP(X104,ＩＶ,2,FALSE),IF(X102="600V CV-T",VLOOKUP(X104,ＣＶＴ,2,FALSE),IF(OR(X102="600V CV-1C",X102="600V CV-2C",X102="600V CV-3C",X102="600V CV-4C"),VLOOKUP(X104,ＣＶ２３Ｃ,2,FALSE),VLOOKUP(X104,ＣＵＳＥＲ,2,FALSE)))))</f>
        <v/>
      </c>
      <c r="AS102" s="107" t="str">
        <f>IF(AB105="",AP104,AP104+(AB105/1000))</f>
        <v/>
      </c>
      <c r="AT102" s="110" t="str">
        <f>IF(AU104="",AT104,AU104)</f>
        <v/>
      </c>
      <c r="AU102" s="110" t="str">
        <f>IF(D102="","",IF(AND(D166="",D170&lt;&gt;"",AV105=AV173),AT170,IF(AND(D166="",D170="",D174&lt;&gt;"",AV169=AV177),AT174,IF(AND(D166="",D170="",D174="",D178&lt;&gt;"",AV173=AV181),AT178,IF(AND(D166="",D170="",D174="",D178="",D182&lt;&gt;"",AV177=AV185),AT182,IF(AND(D166="",D170="",D174="",D178="",D182="",D186&lt;&gt;"",AV181=AV189),AT186,IF(AND(D166="",D170="",D174="",D178="",D182="",D186="",#REF!&lt;&gt;"",AV185=#REF!),#REF!,"")))))))</f>
        <v/>
      </c>
      <c r="AV102" s="110" t="str">
        <f>IF(L102="発電機",IF(ISNA(VLOOKUP(L104,ＡＣＧ,2,FALSE)),0,VLOOKUP(L104,ＡＣＧ,2,FALSE)),"")</f>
        <v/>
      </c>
      <c r="AW102" s="111" t="str">
        <f>IF(AT102="","",AT102/((AT102*AP102)^2+(AT103*AP102-1)^2))</f>
        <v/>
      </c>
      <c r="AX102" s="112" t="str">
        <f>IF(BA104=0,"",IF(OR(AX98="",AF102&lt;&gt;""),AF102*SQRT(AS104^2+AS105^2)/SQRT(AT104^2+AT105^2),AX98*SQRT(AS104^2+AS105^2)/SQRT(AT104^2+AT105^2)))</f>
        <v/>
      </c>
      <c r="AY102" s="113">
        <f>IF(N(AY104)=10^30,10^30,IF(N(AY168)=10^30,(N(AY104)*(N(AY168)^2+N(AY169)^2)+N(AY168)*(N(AY104)^2+N(AY105)^2))/((N(AY104)+N(AY168))^2+(N(AY105)+N(AY169))^2),(N(AY104)*(N(AY166)^2+N(AY167)^2)+N(AY166)*(N(AY104)^2+N(AY105)^2))/((N(AY104)+N(AY166))^2+(N(AY105)+N(AY167))^2)))</f>
        <v>1E+30</v>
      </c>
      <c r="AZ102" s="52"/>
      <c r="BA102" s="114">
        <f>IF(AND(F102="",SUM(S102:S105)&lt;&gt;0),BA98,F102)</f>
        <v>0</v>
      </c>
      <c r="BB102" s="115">
        <f>IF(AND(BA102=3,S102&lt;&gt;""),1,0)</f>
        <v>0</v>
      </c>
      <c r="BC102" s="52"/>
      <c r="BD102" s="52"/>
      <c r="BH102" s="162">
        <f>IF(OR(E102="",F105="",AND(OR(P102="",Q102="",R102="",T102=""),OR(P103="",Q103="",R103="",T103=""),OR(P104="",Q104="",R104="",T104=""),OR(P105="",Q105="",R105="",T105="")),AND(OR(X102="",X104="",Y104="",Z104=""),OR(AB102="",AB104="",AC104="",AD104=""))),0,1)</f>
        <v>0</v>
      </c>
      <c r="BI102" s="162">
        <f>BH102+BI98</f>
        <v>4</v>
      </c>
      <c r="BJ102" s="4"/>
      <c r="BK102" s="4"/>
    </row>
    <row r="103" spans="1:63" ht="15" customHeight="1" x14ac:dyDescent="0.15">
      <c r="A103" s="159"/>
      <c r="B103" s="159"/>
      <c r="C103" s="245"/>
      <c r="D103" s="432"/>
      <c r="E103" s="448"/>
      <c r="F103" s="434"/>
      <c r="G103" s="241"/>
      <c r="H103" s="435"/>
      <c r="I103" s="241"/>
      <c r="J103" s="435"/>
      <c r="K103" s="247"/>
      <c r="L103" s="436"/>
      <c r="M103" s="170" t="str">
        <f>IF(L102="発電機",SQRT(AV102^2+AV103^2),IF(L104="","",IF(OR(L102="油入自冷",L102="モ－ルド絶縁"),IF(BA102=1,SQRT(AN102^2+AN103^2),IF(BA102=3,SQRT(AN104^2+AN105^2))),SQRT(AO102^2+AO103^2))))</f>
        <v/>
      </c>
      <c r="N103" s="437"/>
      <c r="O103" s="171"/>
      <c r="P103" s="195"/>
      <c r="Q103" s="172"/>
      <c r="R103" s="173"/>
      <c r="S103" s="174" t="str">
        <f t="shared" si="4"/>
        <v/>
      </c>
      <c r="T103" s="175"/>
      <c r="U103" s="176" t="str">
        <f>IF(OR(BA104="",S103=""),"",S103*1000*T103/(SQRT(BA102)*BA104))</f>
        <v/>
      </c>
      <c r="V103" s="237"/>
      <c r="W103" s="221"/>
      <c r="X103" s="225"/>
      <c r="Y103" s="226"/>
      <c r="Z103" s="227"/>
      <c r="AA103" s="229"/>
      <c r="AB103" s="231"/>
      <c r="AC103" s="226"/>
      <c r="AD103" s="227"/>
      <c r="AE103" s="233"/>
      <c r="AF103" s="124" t="str">
        <f>IF(OR(AF102="",AG98&lt;&gt;""),"",AF102*AQ103/SQRT(AT102^2+AT103^2))</f>
        <v/>
      </c>
      <c r="AG103" s="205" t="str">
        <f>IF(AG102="","",100*AG102*AQ103/BA104)</f>
        <v/>
      </c>
      <c r="AH103" s="206"/>
      <c r="AI103" s="207" t="str">
        <f>IF(BA104=0,"",IF(AI98="",AX104/SQRT(AT102^2+AT103^2),IF(AI106="","",IF(AT102&lt;0,-AX102*AQ99/SQRT(AT102^2+AT103^2),AX102*AQ99/SQRT(AT102^2+AT103^2)))))</f>
        <v/>
      </c>
      <c r="AJ103" s="203"/>
      <c r="AK103" s="204"/>
      <c r="AL103" s="125"/>
      <c r="AM103" s="59"/>
      <c r="AN103" s="107" t="b">
        <f>IF(BA102="","",IF(AND(BA102=1,F104=50,L102="油入自冷"),VLOOKUP(L104,変１,3,FALSE),IF(AND(BA102=1,F104=50,L102="モ－ルド絶縁"),VLOOKUP(L104,変１,8,FALSE),IF(AND(BA102=1,F104=60,L102="油入自冷"),VLOOKUP(L104,変１,13,FALSE),IF(AND(BA102=1,F104=60,L102="モ－ルド絶縁"),VLOOKUP(L104,変１,18,FALSE),FALSE)))))</f>
        <v>0</v>
      </c>
      <c r="AO103" s="107">
        <f>IF(ISNA(VLOOKUP(L104,変ＵＳＥＲ,3,FALSE)),0,VLOOKUP(L104,変ＵＳＥＲ,3,FALSE)*BA105/50)</f>
        <v>0</v>
      </c>
      <c r="AP103" s="108">
        <f>IF(W102="",0,W102*1000/BA104^2/SQRT(BA102))</f>
        <v>0</v>
      </c>
      <c r="AQ103" s="107">
        <f>IF(AND(BA102=1,BA103=2),1,IF(AND(BA102=3,BA103=3),1,IF(AND(BA102=1,BA103=3),2,IF(AND(BA102=3,BA103=4)*OR(BB102=1,BB103=1,BB104=1,BB105=1),1,SQRT(3)))))</f>
        <v>1.7320508075688772</v>
      </c>
      <c r="AR103" s="109" t="str">
        <f>IF(X102="","",IF(X102="600V IV",VLOOKUP(X104,ＩＶ,3,FALSE),IF(X102="600V CV-T",VLOOKUP(X104,ＣＶＴ,3,FALSE),IF(OR(X102="600V CV-1C",X102="600V CV-2C",X102="600V CV-3C",X102="600V CV-4C"),VLOOKUP(X104,ＣＶ２３Ｃ,3,FALSE),VLOOKUP(X104,ＣＵＳＥＲ,3,FALSE)))))</f>
        <v/>
      </c>
      <c r="AS103" s="107" t="str">
        <f>IF(AD105="",AP105,AP105+(AD105/1000))</f>
        <v/>
      </c>
      <c r="AT103" s="110" t="str">
        <f>IF(AU105="",AT105,AU105)</f>
        <v/>
      </c>
      <c r="AU103" s="110" t="str">
        <f>IF(D102="","",IF(AND(D166="",D170&lt;&gt;"",AV105=AV173),AT171,IF(AND(D166="",D170="",D174&lt;&gt;"",AV169=AV177),AT175,IF(AND(D166="",D170="",D174="",D178&lt;&gt;"",AV173=AV181),AT179,IF(AND(D166="",D170="",D174="",D178="",D182&lt;&gt;"",AV177=AV185),AT183,IF(AND(D166="",D170="",D174="",D178="",D182="",D186&lt;&gt;"",AV181=AV189),AT187,IF(AND(D166="",D170="",D174="",D178="",D182="",D186="",#REF!&lt;&gt;"",AV185=#REF!),#REF!,"")))))))</f>
        <v/>
      </c>
      <c r="AV103" s="109" t="str">
        <f>IF(L102="発電機",IF(ISNA(VLOOKUP(L104,ＡＣＧ,3,FALSE)),0,VLOOKUP(L104,ＡＣＧ,3,FALSE)*BA105/50),"")</f>
        <v/>
      </c>
      <c r="AW103" s="111" t="str">
        <f>IF(AT103="","",(AT103-AP102*(AT102^2+AT103^2))/((AT102*AP102)^2+(AP102*AT103-1)^2))</f>
        <v/>
      </c>
      <c r="AX103" s="112"/>
      <c r="AY103" s="113">
        <f>IF(N(AY105)=10^30,10^30,IF(N(AY169)=10^30,(N(AY105)*(N(AY168)^2+N(AY169)^2)+N(AY169)*(N(AY104)^2+N(AY105)^2))/((N(AY104)+N(AY168))^2+(N(AY105)+N(AY169))^2),(N(AY105)*(N(AY166)^2+N(AY167)^2)+N(AY167)*(N(AY104)^2+N(AY105)^2))/((N(AY104)+N(AY166))^2+(N(AY105)+N(AY167))^2)))</f>
        <v>1E+30</v>
      </c>
      <c r="AZ103" s="52"/>
      <c r="BA103" s="114">
        <f>IF(AND(H102="",SUM(S102:S105)&lt;&gt;0),BA99,H102)</f>
        <v>0</v>
      </c>
      <c r="BB103" s="115">
        <f>IF(AND(BA102=3,S103&lt;&gt;""),1,0)</f>
        <v>0</v>
      </c>
      <c r="BC103" s="52"/>
      <c r="BD103" s="52"/>
      <c r="BH103" s="162"/>
      <c r="BI103" s="162"/>
      <c r="BJ103" s="4"/>
      <c r="BK103" s="4"/>
    </row>
    <row r="104" spans="1:63" ht="15" customHeight="1" x14ac:dyDescent="0.15">
      <c r="A104" s="159"/>
      <c r="B104" s="159"/>
      <c r="C104" s="245"/>
      <c r="D104" s="432"/>
      <c r="E104" s="448"/>
      <c r="F104" s="438"/>
      <c r="G104" s="438"/>
      <c r="H104" s="438"/>
      <c r="I104" s="438"/>
      <c r="J104" s="438"/>
      <c r="K104" s="439"/>
      <c r="L104" s="440"/>
      <c r="M104" s="441"/>
      <c r="N104" s="437"/>
      <c r="O104" s="171"/>
      <c r="P104" s="196"/>
      <c r="Q104" s="177"/>
      <c r="R104" s="173"/>
      <c r="S104" s="174" t="str">
        <f t="shared" si="4"/>
        <v/>
      </c>
      <c r="T104" s="175"/>
      <c r="U104" s="178" t="str">
        <f>IF(OR(BA104="",S104=""),"",S104*1000*T104/(SQRT(BA102)*BA104))</f>
        <v/>
      </c>
      <c r="V104" s="179" t="str">
        <f>IF(AND(N(U102)=0,N(U103)=0,N(U104)=0,N(U105)=0),"",V102*(P102*R102*T102+P103*R103*T103+P104*R104*T104+P105*R105*T105)/(P102*T102+P103*T103+P104*T104+P105*T105))</f>
        <v/>
      </c>
      <c r="W104" s="209" t="str">
        <f>IF(AND(N(AP104)=0,N(AP105)=0,N(AP103)=0),"",IF(AP105&gt;=0,COS(ATAN(AP105/AP104)),-COS(ATAN(AP105/AP104))))</f>
        <v/>
      </c>
      <c r="X104" s="180"/>
      <c r="Y104" s="181"/>
      <c r="Z104" s="182"/>
      <c r="AA104" s="183"/>
      <c r="AB104" s="184"/>
      <c r="AC104" s="181"/>
      <c r="AD104" s="182"/>
      <c r="AE104" s="185"/>
      <c r="AF104" s="136" t="str">
        <f>IF(OR(AF102="",AG98&lt;&gt;""),"",BA104/SQRT(AW104^2+AW105^2))</f>
        <v/>
      </c>
      <c r="AG104" s="205" t="str">
        <f>IF(AG102="","",100*((BA104/AQ103)-AG102)/(BA104/AQ103))</f>
        <v/>
      </c>
      <c r="AH104" s="206"/>
      <c r="AI104" s="208"/>
      <c r="AJ104" s="211"/>
      <c r="AK104" s="213"/>
      <c r="AL104" s="137"/>
      <c r="AM104" s="59"/>
      <c r="AN104" s="138" t="b">
        <f>IF(BA102="","",IF(AND(BA102=3,F104=50,L102="油入自冷"),VLOOKUP(L104,変３,2,FALSE),IF(AND(BA102=3,F104=50,L102="モ－ルド絶縁"),VLOOKUP(L104,変３,7,FALSE),IF(AND(BA102=3,F104=60,L102="油入自冷"),VLOOKUP(L104,変３,12,FALSE),IF(AND(BA102=3,F104=60,L102="モ－ルド絶縁"),VLOOKUP(L104,変３,17,FALSE),FALSE)))))</f>
        <v>0</v>
      </c>
      <c r="AO104" s="109" t="str">
        <f>IF(AND(L98="",N(AY102)&lt;10^29),AY102,"")</f>
        <v/>
      </c>
      <c r="AP104" s="139" t="str">
        <f>IF(V102="","",IF(AND(N(V104)=0,N(AP103)=0),"",AQ104/((AQ104*AP103)^2+(AP103*AQ105-1)^2)))</f>
        <v/>
      </c>
      <c r="AQ104" s="107">
        <f>IF(N(V104)=0,10^30,V104)</f>
        <v>1E+30</v>
      </c>
      <c r="AR104" s="109" t="str">
        <f>IF(AB102="","",IF(AB102="600V IV",VLOOKUP(AB104,ＩＶ,2,FALSE),IF(AB102="600V CV-T",VLOOKUP(AB104,ＣＶＴ,2,FALSE),IF(OR(AB102="600V CV-1C",AB102="600V CV-2C",AB102="600V CV-3C",AB102="600V CV-4C"),VLOOKUP(AB104,ＣＶ２３Ｃ,2,FALSE),VLOOKUP(AB104,ＣＵＳＥＲ,2,FALSE)))))</f>
        <v/>
      </c>
      <c r="AS104" s="107" t="str">
        <f>IF(OR(AND(AS166="",AS167=""),AND(D102="",D166&lt;&gt;"")),AS102,(AS102*(AT166^2+AT167^2)+AT166*(AS102^2+AS103^2))/((AS102+AT166)^2+(AS103+AT167)^2))</f>
        <v/>
      </c>
      <c r="AT104" s="110" t="str">
        <f>IF(X105="",AS104,N(AS104)+(X105/1000))</f>
        <v/>
      </c>
      <c r="AU104" s="110" t="str">
        <f>IF(AU102="","",(AT104*(AU102^2+AU103^2)+AU102*(AT104^2+AT105^2))/((AT104+AU102)^2+(AT105+AU103)^2))</f>
        <v/>
      </c>
      <c r="AV104" s="110">
        <f>IF(BA104=0,1,0)</f>
        <v>1</v>
      </c>
      <c r="AW104" s="111" t="str">
        <f>IF(AO104="","",AW102+AO104)</f>
        <v/>
      </c>
      <c r="AX104" s="112" t="str">
        <f>IF(AND(AX100="",AW104&lt;&gt;""),BA104*SQRT(AW102^2+AW103^2)/SQRT(AW104^2+AW105^2),IF(BA104&lt;&gt;0,AX100,""))</f>
        <v/>
      </c>
      <c r="AY104" s="140">
        <f>IF(L104="",10^30,SQRT(BA102)*(BA104^2)*(N(AN102)+N(AN104)+N(AO102)+N(AV102))/(100000*L104*M102))</f>
        <v>1E+30</v>
      </c>
      <c r="AZ104" s="141"/>
      <c r="BA104" s="114">
        <f>IF(AND(J102="",SUM(S102:S105)&lt;&gt;0),BA100,J102)</f>
        <v>0</v>
      </c>
      <c r="BB104" s="115">
        <f>IF(AND(BA102=3,S104&lt;&gt;""),1,0)</f>
        <v>0</v>
      </c>
      <c r="BC104" s="52"/>
      <c r="BD104" s="52"/>
      <c r="BH104" s="162"/>
      <c r="BI104" s="162"/>
      <c r="BJ104" s="4"/>
      <c r="BK104" s="4"/>
    </row>
    <row r="105" spans="1:63" ht="15" customHeight="1" x14ac:dyDescent="0.15">
      <c r="A105" s="159"/>
      <c r="B105" s="159"/>
      <c r="C105" s="245"/>
      <c r="D105" s="442"/>
      <c r="E105" s="449"/>
      <c r="F105" s="444"/>
      <c r="G105" s="444"/>
      <c r="H105" s="444"/>
      <c r="I105" s="444"/>
      <c r="J105" s="444"/>
      <c r="K105" s="445"/>
      <c r="L105" s="238" t="str">
        <f>IF(M102="","",L104*1000*M102/(SQRT(BA102)*BA104))</f>
        <v/>
      </c>
      <c r="M105" s="239"/>
      <c r="N105" s="446"/>
      <c r="O105" s="186"/>
      <c r="P105" s="197"/>
      <c r="Q105" s="187"/>
      <c r="R105" s="188"/>
      <c r="S105" s="189" t="str">
        <f t="shared" si="4"/>
        <v/>
      </c>
      <c r="T105" s="190"/>
      <c r="U105" s="191" t="str">
        <f>IF(OR(BA104="",S105=""),"",S105*1000*T105/(SQRT(BA102)*BA104))</f>
        <v/>
      </c>
      <c r="V105" s="192" t="str">
        <f>IF(AND(N(U102)=0,N(U103)=0,N(U104)=0,N(U105)=0),"",IF(V102&gt;=0,SQRT(ABS(V102^2-V104^2)),-SQRT(V102^2-V104^2)))</f>
        <v/>
      </c>
      <c r="W105" s="210"/>
      <c r="X105" s="215" t="str">
        <f>IF(Y104="","",AQ102*Z104*AR102*((1+0.00393*(F105-20))/1.2751)/Y104)</f>
        <v/>
      </c>
      <c r="Y105" s="216"/>
      <c r="Z105" s="217" t="str">
        <f>IF(Y104="","",(BA105/50)*AQ102*Z104*AR103/Y104)</f>
        <v/>
      </c>
      <c r="AA105" s="218"/>
      <c r="AB105" s="219" t="str">
        <f>IF(AC104="","",AQ102*AD104*AR104*((1+0.00393*(F105-20))/1.2751)/AC104)</f>
        <v/>
      </c>
      <c r="AC105" s="216"/>
      <c r="AD105" s="217" t="str">
        <f>IF(AC104="","",(BA105/50)*AQ102*AD104*AR105/AC104)</f>
        <v/>
      </c>
      <c r="AE105" s="242"/>
      <c r="AF105" s="150" t="str">
        <f>IF(AND(AX102&lt;&gt;"",D102=""),AX102,"")</f>
        <v/>
      </c>
      <c r="AG105" s="243" t="str">
        <f>IF(AP104="","",AP104)</f>
        <v/>
      </c>
      <c r="AH105" s="244"/>
      <c r="AI105" s="151" t="str">
        <f>IF(AP105="","",AP105)</f>
        <v/>
      </c>
      <c r="AJ105" s="212"/>
      <c r="AK105" s="214"/>
      <c r="AL105" s="152"/>
      <c r="AM105" s="59"/>
      <c r="AN105" s="153" t="b">
        <f>IF(BA102="","",IF(AND(BA102=3,F104=50,L102="油入自冷"),VLOOKUP(L104,変３,3,FALSE),IF(AND(BA102=3,F104=50,L102="モ－ルド絶縁"),VLOOKUP(L104,変３,8,FALSE),IF(AND(BA102=3,F104=60,L102="油入自冷"),VLOOKUP(L104,変３,13,FALSE),IF(AND(BA102=3,F104=60,L102="モ－ルド絶縁"),VLOOKUP(L104,変３,18,FALSE),FALSE)))))</f>
        <v>0</v>
      </c>
      <c r="AO105" s="153" t="str">
        <f>IF(AND(L98="",N(AY103)&lt;10^29),AY103,"")</f>
        <v/>
      </c>
      <c r="AP105" s="154" t="str">
        <f>IF(V102="","",IF(AND(N(V105)=0,N(AP103)=0),0,(AQ105-AP103*(AQ104^2+AQ105^2))/((AQ104*AP103)^2+(AP103*AQ105-1)^2)))</f>
        <v/>
      </c>
      <c r="AQ105" s="155">
        <f>IF(N(V105)=0,10^30,V105)</f>
        <v>1E+30</v>
      </c>
      <c r="AR105" s="153" t="str">
        <f>IF(AB102="","",IF(AB102="600V IV",VLOOKUP(AB104,ＩＶ,3,FALSE),IF(AB102="600V CV-T",VLOOKUP(AB104,ＣＶＴ,3,FALSE),IF(OR(AB102="600V CV-1C",AB102="600V CV-2C",AB102="600V CV-3C",AB102="600V CV-4C"),VLOOKUP(AB104,ＣＶ２３Ｃ,3,FALSE),VLOOKUP(AB104,ＣＵＳＥＲ,3,FALSE)))))</f>
        <v/>
      </c>
      <c r="AS105" s="155" t="str">
        <f>IF(OR(AND(AS166="",AS167=""),AND(D102="",D166&lt;&gt;"")),AS103,(AS103*(AT166^2+AT167^2)+AT167*(AS102^2+AS103^2))/((AS102+AT166)^2+(AS103+AT167)^2))</f>
        <v/>
      </c>
      <c r="AT105" s="156" t="str">
        <f>IF(Z105="",AS105,N(AS105)+(Z105/1000))</f>
        <v/>
      </c>
      <c r="AU105" s="156" t="str">
        <f>IF(AU103="","",(AT105*(AU102^2+AU103^2)+AU103*(AT104^2+AT105^2))/((AT104+AU102)^2+(AT105+AU103)^2))</f>
        <v/>
      </c>
      <c r="AV105" s="156">
        <f>AV101+AV104</f>
        <v>4</v>
      </c>
      <c r="AW105" s="155" t="str">
        <f>IF(AO105="","",AW103+AO105)</f>
        <v/>
      </c>
      <c r="AX105" s="157"/>
      <c r="AY105" s="140">
        <f>IF(L104="",10^30,SQRT(BA102)*(BA104^2)*(N(AN103)+N(AN105)+N(AO103)+N(AV103))/(100000*L104*M102))</f>
        <v>1E+30</v>
      </c>
      <c r="AZ105" s="141"/>
      <c r="BA105" s="114">
        <f>IF(AND(F104="",SUM(S102:S105)&lt;&gt;0),BA101,F104)</f>
        <v>0</v>
      </c>
      <c r="BB105" s="115">
        <f>IF(AND(BA102=3,S105&lt;&gt;""),1,0)</f>
        <v>0</v>
      </c>
      <c r="BC105" s="52"/>
      <c r="BD105" s="52"/>
      <c r="BH105" s="162"/>
      <c r="BI105" s="162"/>
      <c r="BJ105" s="4"/>
      <c r="BK105" s="4"/>
    </row>
    <row r="106" spans="1:63" ht="15" customHeight="1" x14ac:dyDescent="0.15">
      <c r="A106" s="159"/>
      <c r="B106" s="159"/>
      <c r="C106" s="245" t="str">
        <f>IF(BH106=1,"●","・")</f>
        <v>・</v>
      </c>
      <c r="D106" s="425"/>
      <c r="E106" s="447"/>
      <c r="F106" s="427"/>
      <c r="G106" s="240" t="str">
        <f>IF(F106="","","φ")</f>
        <v/>
      </c>
      <c r="H106" s="428"/>
      <c r="I106" s="240" t="str">
        <f>IF(H106="","","W")</f>
        <v/>
      </c>
      <c r="J106" s="428"/>
      <c r="K106" s="246" t="str">
        <f>IF(J106="","","V")</f>
        <v/>
      </c>
      <c r="L106" s="429"/>
      <c r="M106" s="430"/>
      <c r="N106" s="431"/>
      <c r="O106" s="164"/>
      <c r="P106" s="194"/>
      <c r="Q106" s="165"/>
      <c r="R106" s="166"/>
      <c r="S106" s="167" t="str">
        <f>IF(R106="","",IF(Q106="",P106/R106,P106/(Q106*R106)))</f>
        <v/>
      </c>
      <c r="T106" s="168"/>
      <c r="U106" s="169" t="str">
        <f>IF(OR(BA108="",S106=""),"",S106*1000*T106/(SQRT(BA106)*BA108))</f>
        <v/>
      </c>
      <c r="V106" s="236" t="str">
        <f>IF(AND(N(U106)=0,N(U107)=0,N(U108)=0,N(U109)=0),"",BA108/(SUM(U106:U109)))</f>
        <v/>
      </c>
      <c r="W106" s="220"/>
      <c r="X106" s="222"/>
      <c r="Y106" s="223"/>
      <c r="Z106" s="224"/>
      <c r="AA106" s="228"/>
      <c r="AB106" s="230"/>
      <c r="AC106" s="223"/>
      <c r="AD106" s="224"/>
      <c r="AE106" s="232"/>
      <c r="AF106" s="104" t="str">
        <f>IF(OR(AND(AF102="",N(BA104)=0,BA108&lt;&gt;0),D106&lt;&gt;""),AX108/AQ107,"")</f>
        <v/>
      </c>
      <c r="AG106" s="234" t="str">
        <f>IF(BA108=0,"",IF(AD108="",AX106,IF(AND(D106&lt;&gt;"",AU106=""),AX108*SQRT(AP108^2+AP109^2)/SQRT(AS106^2+AS107^2)/AQ107,AX106*SQRT(AP108^2+AP109^2)/SQRT(AS106^2+AS107^2))))</f>
        <v/>
      </c>
      <c r="AH106" s="235"/>
      <c r="AI106" s="105" t="str">
        <f>IF(AG106="","",IF(N(U106)&lt;0,-AX106*AQ107/SQRT(AS106^2+AS107^2),AX106*AQ107/SQRT(AS106^2+AS107^2)))</f>
        <v/>
      </c>
      <c r="AJ106" s="201"/>
      <c r="AK106" s="202"/>
      <c r="AL106" s="106"/>
      <c r="AM106" s="59"/>
      <c r="AN106" s="107" t="b">
        <f>IF(BA106="","",IF(AND(BA106=1,F108=50,L106="油入自冷"),VLOOKUP(L108,変１,2,FALSE),IF(AND(BA106=1,F108=50,L106="モ－ルド絶縁"),VLOOKUP(L108,変１,7,FALSE),IF(AND(BA106=1,F108=60,L106="油入自冷"),VLOOKUP(L108,変１,12,FALSE),IF(AND(BA106=1,F108=60,L106="モ－ルド絶縁"),VLOOKUP(L108,変１,17,FALSE),FALSE)))))</f>
        <v>0</v>
      </c>
      <c r="AO106" s="107">
        <f>IF(ISNA(VLOOKUP(L108,変ＵＳＥＲ,2,FALSE)),0,VLOOKUP(L108,変ＵＳＥＲ,2,FALSE))</f>
        <v>0</v>
      </c>
      <c r="AP106" s="108">
        <f>IF(N106="",0,N106*1000/BA108^2/SQRT(BA106))</f>
        <v>0</v>
      </c>
      <c r="AQ106" s="107" t="b">
        <f>IF(BA106=1,2,IF(BA106=3,SQRT(3),FALSE))</f>
        <v>0</v>
      </c>
      <c r="AR106" s="109" t="str">
        <f>IF(X106="","",IF(X106="600V IV",VLOOKUP(X108,ＩＶ,2,FALSE),IF(X106="600V CV-T",VLOOKUP(X108,ＣＶＴ,2,FALSE),IF(OR(X106="600V CV-1C",X106="600V CV-2C",X106="600V CV-3C",X106="600V CV-4C"),VLOOKUP(X108,ＣＶ２３Ｃ,2,FALSE),VLOOKUP(X108,ＣＵＳＥＲ,2,FALSE)))))</f>
        <v/>
      </c>
      <c r="AS106" s="107" t="str">
        <f>IF(AB109="",AP108,AP108+(AB109/1000))</f>
        <v/>
      </c>
      <c r="AT106" s="110" t="str">
        <f>IF(AU108="",AT108,AU108)</f>
        <v/>
      </c>
      <c r="AU106" s="110" t="str">
        <f>IF(D106="","",IF(AND(D170="",D174&lt;&gt;"",AV109=AV177),AT174,IF(AND(D170="",D174="",D178&lt;&gt;"",AV173=AV181),AT178,IF(AND(D170="",D174="",D178="",D182&lt;&gt;"",AV177=AV185),AT182,IF(AND(D170="",D174="",D178="",D182="",D186&lt;&gt;"",AV181=AV189),AT186,IF(AND(D170="",D174="",D178="",D182="",D186="",#REF!&lt;&gt;"",AV185=#REF!),#REF!,IF(AND(D170="",D174="",D178="",D182="",D186="",#REF!="",D190&lt;&gt;"",AV189=AV193),AT190,"")))))))</f>
        <v/>
      </c>
      <c r="AV106" s="110" t="str">
        <f>IF(L106="発電機",IF(ISNA(VLOOKUP(L108,ＡＣＧ,2,FALSE)),0,VLOOKUP(L108,ＡＣＧ,2,FALSE)),"")</f>
        <v/>
      </c>
      <c r="AW106" s="111" t="str">
        <f>IF(AT106="","",AT106/((AT106*AP106)^2+(AT107*AP106-1)^2))</f>
        <v/>
      </c>
      <c r="AX106" s="112" t="str">
        <f>IF(BA108=0,"",IF(OR(AX102="",AF106&lt;&gt;""),AF106*SQRT(AS108^2+AS109^2)/SQRT(AT108^2+AT109^2),AX102*SQRT(AS108^2+AS109^2)/SQRT(AT108^2+AT109^2)))</f>
        <v/>
      </c>
      <c r="AY106" s="113">
        <f>IF(N(AY108)=10^30,10^30,IF(N(AY172)=10^30,(N(AY108)*(N(AY172)^2+N(AY173)^2)+N(AY172)*(N(AY108)^2+N(AY109)^2))/((N(AY108)+N(AY172))^2+(N(AY109)+N(AY173))^2),(N(AY108)*(N(AY170)^2+N(AY171)^2)+N(AY170)*(N(AY108)^2+N(AY109)^2))/((N(AY108)+N(AY170))^2+(N(AY109)+N(AY171))^2)))</f>
        <v>1E+30</v>
      </c>
      <c r="AZ106" s="52"/>
      <c r="BA106" s="114">
        <f>IF(AND(F106="",SUM(S106:S109)&lt;&gt;0),BA102,F106)</f>
        <v>0</v>
      </c>
      <c r="BB106" s="115">
        <f>IF(AND(BA106=3,S106&lt;&gt;""),1,0)</f>
        <v>0</v>
      </c>
      <c r="BC106" s="52"/>
      <c r="BD106" s="52"/>
      <c r="BH106" s="162">
        <f>IF(OR(E106="",F109="",AND(OR(P106="",Q106="",R106="",T106=""),OR(P107="",Q107="",R107="",T107=""),OR(P108="",Q108="",R108="",T108=""),OR(P109="",Q109="",R109="",T109="")),AND(OR(X106="",X108="",Y108="",Z108=""),OR(AB106="",AB108="",AC108="",AD108=""))),0,1)</f>
        <v>0</v>
      </c>
      <c r="BI106" s="162">
        <f>BH106+BI102</f>
        <v>4</v>
      </c>
      <c r="BJ106" s="4"/>
      <c r="BK106" s="4"/>
    </row>
    <row r="107" spans="1:63" ht="15" customHeight="1" x14ac:dyDescent="0.15">
      <c r="A107" s="159"/>
      <c r="B107" s="159"/>
      <c r="C107" s="245"/>
      <c r="D107" s="432"/>
      <c r="E107" s="448"/>
      <c r="F107" s="434"/>
      <c r="G107" s="241"/>
      <c r="H107" s="435"/>
      <c r="I107" s="241"/>
      <c r="J107" s="435"/>
      <c r="K107" s="247"/>
      <c r="L107" s="436"/>
      <c r="M107" s="170" t="str">
        <f>IF(L106="発電機",SQRT(AV106^2+AV107^2),IF(L108="","",IF(OR(L106="油入自冷",L106="モ－ルド絶縁"),IF(BA106=1,SQRT(AN106^2+AN107^2),IF(BA106=3,SQRT(AN108^2+AN109^2))),SQRT(AO106^2+AO107^2))))</f>
        <v/>
      </c>
      <c r="N107" s="437"/>
      <c r="O107" s="171"/>
      <c r="P107" s="195"/>
      <c r="Q107" s="172"/>
      <c r="R107" s="173"/>
      <c r="S107" s="174" t="str">
        <f t="shared" si="4"/>
        <v/>
      </c>
      <c r="T107" s="175"/>
      <c r="U107" s="176" t="str">
        <f>IF(OR(BA108="",S107=""),"",S107*1000*T107/(SQRT(BA106)*BA108))</f>
        <v/>
      </c>
      <c r="V107" s="237"/>
      <c r="W107" s="221"/>
      <c r="X107" s="225"/>
      <c r="Y107" s="226"/>
      <c r="Z107" s="227"/>
      <c r="AA107" s="229"/>
      <c r="AB107" s="231"/>
      <c r="AC107" s="226"/>
      <c r="AD107" s="227"/>
      <c r="AE107" s="233"/>
      <c r="AF107" s="124" t="str">
        <f>IF(OR(AF106="",AG102&lt;&gt;""),"",AF106*AQ107/SQRT(AT106^2+AT107^2))</f>
        <v/>
      </c>
      <c r="AG107" s="205" t="str">
        <f>IF(AG106="","",100*AG106*AQ107/BA108)</f>
        <v/>
      </c>
      <c r="AH107" s="206"/>
      <c r="AI107" s="207" t="str">
        <f>IF(BA108=0,"",IF(AI102="",AX108/SQRT(AT106^2+AT107^2),IF(AI110="","",IF(AT106&lt;0,-AX106*AQ103/SQRT(AT106^2+AT107^2),AX106*AQ103/SQRT(AT106^2+AT107^2)))))</f>
        <v/>
      </c>
      <c r="AJ107" s="203"/>
      <c r="AK107" s="204"/>
      <c r="AL107" s="125"/>
      <c r="AM107" s="59"/>
      <c r="AN107" s="107" t="b">
        <f>IF(BA106="","",IF(AND(BA106=1,F108=50,L106="油入自冷"),VLOOKUP(L108,変１,3,FALSE),IF(AND(BA106=1,F108=50,L106="モ－ルド絶縁"),VLOOKUP(L108,変１,8,FALSE),IF(AND(BA106=1,F108=60,L106="油入自冷"),VLOOKUP(L108,変１,13,FALSE),IF(AND(BA106=1,F108=60,L106="モ－ルド絶縁"),VLOOKUP(L108,変１,18,FALSE),FALSE)))))</f>
        <v>0</v>
      </c>
      <c r="AO107" s="107">
        <f>IF(ISNA(VLOOKUP(L108,変ＵＳＥＲ,3,FALSE)),0,VLOOKUP(L108,変ＵＳＥＲ,3,FALSE)*BA109/50)</f>
        <v>0</v>
      </c>
      <c r="AP107" s="108">
        <f>IF(W106="",0,W106*1000/BA108^2/SQRT(BA106))</f>
        <v>0</v>
      </c>
      <c r="AQ107" s="107">
        <f>IF(AND(BA106=1,BA107=2),1,IF(AND(BA106=3,BA107=3),1,IF(AND(BA106=1,BA107=3),2,IF(AND(BA106=3,BA107=4)*OR(BB106=1,BB107=1,BB108=1,BB109=1),1,SQRT(3)))))</f>
        <v>1.7320508075688772</v>
      </c>
      <c r="AR107" s="109" t="str">
        <f>IF(X106="","",IF(X106="600V IV",VLOOKUP(X108,ＩＶ,3,FALSE),IF(X106="600V CV-T",VLOOKUP(X108,ＣＶＴ,3,FALSE),IF(OR(X106="600V CV-1C",X106="600V CV-2C",X106="600V CV-3C",X106="600V CV-4C"),VLOOKUP(X108,ＣＶ２３Ｃ,3,FALSE),VLOOKUP(X108,ＣＵＳＥＲ,3,FALSE)))))</f>
        <v/>
      </c>
      <c r="AS107" s="107" t="str">
        <f>IF(AD109="",AP109,AP109+(AD109/1000))</f>
        <v/>
      </c>
      <c r="AT107" s="110" t="str">
        <f>IF(AU109="",AT109,AU109)</f>
        <v/>
      </c>
      <c r="AU107" s="110" t="str">
        <f>IF(D106="","",IF(AND(D170="",D174&lt;&gt;"",AV109=AV177),AT175,IF(AND(D170="",D174="",D178&lt;&gt;"",AV173=AV181),AT179,IF(AND(D170="",D174="",D178="",D182&lt;&gt;"",AV177=AV185),AT183,IF(AND(D170="",D174="",D178="",D182="",D186&lt;&gt;"",AV181=AV189),AT187,IF(AND(D170="",D174="",D178="",D182="",D186="",#REF!&lt;&gt;"",AV185=#REF!),#REF!,IF(AND(D170="",D174="",D178="",D182="",D186="",#REF!="",D190&lt;&gt;"",AV189=AV193),AT191,"")))))))</f>
        <v/>
      </c>
      <c r="AV107" s="109" t="str">
        <f>IF(L106="発電機",IF(ISNA(VLOOKUP(L108,ＡＣＧ,3,FALSE)),0,VLOOKUP(L108,ＡＣＧ,3,FALSE)*BA109/50),"")</f>
        <v/>
      </c>
      <c r="AW107" s="111" t="str">
        <f>IF(AT107="","",(AT107-AP106*(AT106^2+AT107^2))/((AT106*AP106)^2+(AP106*AT107-1)^2))</f>
        <v/>
      </c>
      <c r="AX107" s="112"/>
      <c r="AY107" s="113">
        <f>IF(N(AY109)=10^30,10^30,IF(N(AY173)=10^30,(N(AY109)*(N(AY172)^2+N(AY173)^2)+N(AY173)*(N(AY108)^2+N(AY109)^2))/((N(AY108)+N(AY172))^2+(N(AY109)+N(AY173))^2),(N(AY109)*(N(AY170)^2+N(AY171)^2)+N(AY171)*(N(AY108)^2+N(AY109)^2))/((N(AY108)+N(AY170))^2+(N(AY109)+N(AY171))^2)))</f>
        <v>1E+30</v>
      </c>
      <c r="AZ107" s="52"/>
      <c r="BA107" s="114">
        <f>IF(AND(H106="",SUM(S106:S109)&lt;&gt;0),BA103,H106)</f>
        <v>0</v>
      </c>
      <c r="BB107" s="115">
        <f>IF(AND(BA106=3,S107&lt;&gt;""),1,0)</f>
        <v>0</v>
      </c>
      <c r="BC107" s="52"/>
      <c r="BD107" s="52"/>
      <c r="BH107" s="162"/>
      <c r="BI107" s="162"/>
      <c r="BJ107" s="4"/>
      <c r="BK107" s="4"/>
    </row>
    <row r="108" spans="1:63" ht="15" customHeight="1" x14ac:dyDescent="0.15">
      <c r="A108" s="159"/>
      <c r="B108" s="159"/>
      <c r="C108" s="245"/>
      <c r="D108" s="432"/>
      <c r="E108" s="448"/>
      <c r="F108" s="438"/>
      <c r="G108" s="438"/>
      <c r="H108" s="438"/>
      <c r="I108" s="438"/>
      <c r="J108" s="438"/>
      <c r="K108" s="439"/>
      <c r="L108" s="440"/>
      <c r="M108" s="441"/>
      <c r="N108" s="437"/>
      <c r="O108" s="171"/>
      <c r="P108" s="196"/>
      <c r="Q108" s="177"/>
      <c r="R108" s="173"/>
      <c r="S108" s="174" t="str">
        <f t="shared" si="4"/>
        <v/>
      </c>
      <c r="T108" s="175"/>
      <c r="U108" s="178" t="str">
        <f>IF(OR(BA108="",S108=""),"",S108*1000*T108/(SQRT(BA106)*BA108))</f>
        <v/>
      </c>
      <c r="V108" s="179" t="str">
        <f>IF(AND(N(U106)=0,N(U107)=0,N(U108)=0,N(U109)=0),"",V106*(P106*R106*T106+P107*R107*T107+P108*R108*T108+P109*R109*T109)/(P106*T106+P107*T107+P108*T108+P109*T109))</f>
        <v/>
      </c>
      <c r="W108" s="209" t="str">
        <f>IF(AND(N(AP108)=0,N(AP109)=0,N(AP107)=0),"",IF(AP109&gt;=0,COS(ATAN(AP109/AP108)),-COS(ATAN(AP109/AP108))))</f>
        <v/>
      </c>
      <c r="X108" s="180"/>
      <c r="Y108" s="181"/>
      <c r="Z108" s="182"/>
      <c r="AA108" s="183"/>
      <c r="AB108" s="184"/>
      <c r="AC108" s="181"/>
      <c r="AD108" s="182"/>
      <c r="AE108" s="185"/>
      <c r="AF108" s="136" t="str">
        <f>IF(OR(AF106="",AG102&lt;&gt;""),"",BA108/SQRT(AW108^2+AW109^2))</f>
        <v/>
      </c>
      <c r="AG108" s="205" t="str">
        <f>IF(AG106="","",100*((BA108/AQ107)-AG106)/(BA108/AQ107))</f>
        <v/>
      </c>
      <c r="AH108" s="206"/>
      <c r="AI108" s="208"/>
      <c r="AJ108" s="211"/>
      <c r="AK108" s="213"/>
      <c r="AL108" s="137"/>
      <c r="AM108" s="59"/>
      <c r="AN108" s="138" t="b">
        <f>IF(BA106="","",IF(AND(BA106=3,F108=50,L106="油入自冷"),VLOOKUP(L108,変３,2,FALSE),IF(AND(BA106=3,F108=50,L106="モ－ルド絶縁"),VLOOKUP(L108,変３,7,FALSE),IF(AND(BA106=3,F108=60,L106="油入自冷"),VLOOKUP(L108,変３,12,FALSE),IF(AND(BA106=3,F108=60,L106="モ－ルド絶縁"),VLOOKUP(L108,変３,17,FALSE),FALSE)))))</f>
        <v>0</v>
      </c>
      <c r="AO108" s="109" t="str">
        <f>IF(AND(L102="",N(AY106)&lt;10^29),AY106,"")</f>
        <v/>
      </c>
      <c r="AP108" s="139" t="str">
        <f>IF(V106="","",IF(AND(N(V108)=0,N(AP107)=0),"",AQ108/((AQ108*AP107)^2+(AP107*AQ109-1)^2)))</f>
        <v/>
      </c>
      <c r="AQ108" s="107">
        <f>IF(N(V108)=0,10^30,V108)</f>
        <v>1E+30</v>
      </c>
      <c r="AR108" s="109" t="str">
        <f>IF(AB106="","",IF(AB106="600V IV",VLOOKUP(AB108,ＩＶ,2,FALSE),IF(AB106="600V CV-T",VLOOKUP(AB108,ＣＶＴ,2,FALSE),IF(OR(AB106="600V CV-1C",AB106="600V CV-2C",AB106="600V CV-3C",AB106="600V CV-4C"),VLOOKUP(AB108,ＣＶ２３Ｃ,2,FALSE),VLOOKUP(AB108,ＣＵＳＥＲ,2,FALSE)))))</f>
        <v/>
      </c>
      <c r="AS108" s="107" t="str">
        <f>IF(OR(AND(AS170="",AS171=""),AND(D106="",D170&lt;&gt;"")),AS106,(AS106*(AT170^2+AT171^2)+AT170*(AS106^2+AS107^2))/((AS106+AT170)^2+(AS107+AT171)^2))</f>
        <v/>
      </c>
      <c r="AT108" s="110" t="str">
        <f>IF(X109="",AS108,N(AS108)+(X109/1000))</f>
        <v/>
      </c>
      <c r="AU108" s="110" t="str">
        <f>IF(AU106="","",(AT108*(AU106^2+AU107^2)+AU106*(AT108^2+AT109^2))/((AT108+AU106)^2+(AT109+AU107)^2))</f>
        <v/>
      </c>
      <c r="AV108" s="110">
        <f>IF(BA108=0,1,0)</f>
        <v>1</v>
      </c>
      <c r="AW108" s="111" t="str">
        <f>IF(AO108="","",AW106+AO108)</f>
        <v/>
      </c>
      <c r="AX108" s="112" t="str">
        <f>IF(AND(AX104="",AW108&lt;&gt;""),BA108*SQRT(AW106^2+AW107^2)/SQRT(AW108^2+AW109^2),IF(BA108&lt;&gt;0,AX104,""))</f>
        <v/>
      </c>
      <c r="AY108" s="140">
        <f>IF(L108="",10^30,SQRT(BA106)*(BA108^2)*(N(AN106)+N(AN108)+N(AO106)+N(AV106))/(100000*L108*M106))</f>
        <v>1E+30</v>
      </c>
      <c r="AZ108" s="141"/>
      <c r="BA108" s="114">
        <f>IF(AND(J106="",SUM(S106:S109)&lt;&gt;0),BA104,J106)</f>
        <v>0</v>
      </c>
      <c r="BB108" s="115">
        <f>IF(AND(BA106=3,S108&lt;&gt;""),1,0)</f>
        <v>0</v>
      </c>
      <c r="BC108" s="52"/>
      <c r="BD108" s="52"/>
      <c r="BH108" s="162"/>
      <c r="BI108" s="162"/>
      <c r="BJ108" s="4"/>
      <c r="BK108" s="4"/>
    </row>
    <row r="109" spans="1:63" ht="15" customHeight="1" x14ac:dyDescent="0.15">
      <c r="A109" s="159"/>
      <c r="B109" s="159"/>
      <c r="C109" s="245"/>
      <c r="D109" s="442"/>
      <c r="E109" s="449"/>
      <c r="F109" s="444"/>
      <c r="G109" s="444"/>
      <c r="H109" s="444"/>
      <c r="I109" s="444"/>
      <c r="J109" s="444"/>
      <c r="K109" s="445"/>
      <c r="L109" s="238" t="str">
        <f>IF(M106="","",L108*1000*M106/(SQRT(BA106)*BA108))</f>
        <v/>
      </c>
      <c r="M109" s="239"/>
      <c r="N109" s="446"/>
      <c r="O109" s="186"/>
      <c r="P109" s="197"/>
      <c r="Q109" s="187"/>
      <c r="R109" s="188"/>
      <c r="S109" s="189" t="str">
        <f t="shared" si="4"/>
        <v/>
      </c>
      <c r="T109" s="190"/>
      <c r="U109" s="191" t="str">
        <f>IF(OR(BA108="",S109=""),"",S109*1000*T109/(SQRT(BA106)*BA108))</f>
        <v/>
      </c>
      <c r="V109" s="192" t="str">
        <f>IF(AND(N(U106)=0,N(U107)=0,N(U108)=0,N(U109)=0),"",IF(V106&gt;=0,SQRT(ABS(V106^2-V108^2)),-SQRT(V106^2-V108^2)))</f>
        <v/>
      </c>
      <c r="W109" s="210"/>
      <c r="X109" s="215" t="str">
        <f>IF(Y108="","",AQ106*Z108*AR106*((1+0.00393*(F109-20))/1.2751)/Y108)</f>
        <v/>
      </c>
      <c r="Y109" s="216"/>
      <c r="Z109" s="217" t="str">
        <f>IF(Y108="","",(BA109/50)*AQ106*Z108*AR107/Y108)</f>
        <v/>
      </c>
      <c r="AA109" s="218"/>
      <c r="AB109" s="219" t="str">
        <f>IF(AC108="","",AQ106*AD108*AR108*((1+0.00393*(F109-20))/1.2751)/AC108)</f>
        <v/>
      </c>
      <c r="AC109" s="216"/>
      <c r="AD109" s="217" t="str">
        <f>IF(AC108="","",(BA109/50)*AQ106*AD108*AR109/AC108)</f>
        <v/>
      </c>
      <c r="AE109" s="242"/>
      <c r="AF109" s="150" t="str">
        <f>IF(AND(AX106&lt;&gt;"",D106=""),AX106,"")</f>
        <v/>
      </c>
      <c r="AG109" s="243" t="str">
        <f>IF(AP108="","",AP108)</f>
        <v/>
      </c>
      <c r="AH109" s="244"/>
      <c r="AI109" s="151" t="str">
        <f>IF(AP109="","",AP109)</f>
        <v/>
      </c>
      <c r="AJ109" s="212"/>
      <c r="AK109" s="214"/>
      <c r="AL109" s="152"/>
      <c r="AM109" s="59"/>
      <c r="AN109" s="153" t="b">
        <f>IF(BA106="","",IF(AND(BA106=3,F108=50,L106="油入自冷"),VLOOKUP(L108,変３,3,FALSE),IF(AND(BA106=3,F108=50,L106="モ－ルド絶縁"),VLOOKUP(L108,変３,8,FALSE),IF(AND(BA106=3,F108=60,L106="油入自冷"),VLOOKUP(L108,変３,13,FALSE),IF(AND(BA106=3,F108=60,L106="モ－ルド絶縁"),VLOOKUP(L108,変３,18,FALSE),FALSE)))))</f>
        <v>0</v>
      </c>
      <c r="AO109" s="153" t="str">
        <f>IF(AND(L102="",N(AY107)&lt;10^29),AY107,"")</f>
        <v/>
      </c>
      <c r="AP109" s="154" t="str">
        <f>IF(V106="","",IF(AND(N(V109)=0,N(AP107)=0),0,(AQ109-AP107*(AQ108^2+AQ109^2))/((AQ108*AP107)^2+(AP107*AQ109-1)^2)))</f>
        <v/>
      </c>
      <c r="AQ109" s="155">
        <f>IF(N(V109)=0,10^30,V109)</f>
        <v>1E+30</v>
      </c>
      <c r="AR109" s="153" t="str">
        <f>IF(AB106="","",IF(AB106="600V IV",VLOOKUP(AB108,ＩＶ,3,FALSE),IF(AB106="600V CV-T",VLOOKUP(AB108,ＣＶＴ,3,FALSE),IF(OR(AB106="600V CV-1C",AB106="600V CV-2C",AB106="600V CV-3C",AB106="600V CV-4C"),VLOOKUP(AB108,ＣＶ２３Ｃ,3,FALSE),VLOOKUP(AB108,ＣＵＳＥＲ,3,FALSE)))))</f>
        <v/>
      </c>
      <c r="AS109" s="155" t="str">
        <f>IF(OR(AND(AS170="",AS171=""),AND(D106="",D170&lt;&gt;"")),AS107,(AS107*(AT170^2+AT171^2)+AT171*(AS106^2+AS107^2))/((AS106+AT170)^2+(AS107+AT171)^2))</f>
        <v/>
      </c>
      <c r="AT109" s="156" t="str">
        <f>IF(Z109="",AS109,N(AS109)+(Z109/1000))</f>
        <v/>
      </c>
      <c r="AU109" s="156" t="str">
        <f>IF(AU107="","",(AT109*(AU106^2+AU107^2)+AU107*(AT108^2+AT109^2))/((AT108+AU106)^2+(AT109+AU107)^2))</f>
        <v/>
      </c>
      <c r="AV109" s="156">
        <f>AV105+AV108</f>
        <v>5</v>
      </c>
      <c r="AW109" s="155" t="str">
        <f>IF(AO109="","",AW107+AO109)</f>
        <v/>
      </c>
      <c r="AX109" s="157"/>
      <c r="AY109" s="140">
        <f>IF(L108="",10^30,SQRT(BA106)*(BA108^2)*(N(AN107)+N(AN109)+N(AO107)+N(AV107))/(100000*L108*M106))</f>
        <v>1E+30</v>
      </c>
      <c r="AZ109" s="141"/>
      <c r="BA109" s="114">
        <f>IF(AND(F108="",SUM(S106:S109)&lt;&gt;0),BA105,F108)</f>
        <v>0</v>
      </c>
      <c r="BB109" s="115">
        <f>IF(AND(BA106=3,S109&lt;&gt;""),1,0)</f>
        <v>0</v>
      </c>
      <c r="BC109" s="52"/>
      <c r="BD109" s="52"/>
      <c r="BH109" s="162"/>
      <c r="BI109" s="162"/>
      <c r="BJ109" s="4"/>
      <c r="BK109" s="4"/>
    </row>
    <row r="110" spans="1:63" ht="15" customHeight="1" x14ac:dyDescent="0.15">
      <c r="A110" s="159"/>
      <c r="B110" s="159"/>
      <c r="C110" s="245" t="str">
        <f>IF(BH110=1,"●","・")</f>
        <v>・</v>
      </c>
      <c r="D110" s="425"/>
      <c r="E110" s="447"/>
      <c r="F110" s="427"/>
      <c r="G110" s="240" t="str">
        <f>IF(F110="","","φ")</f>
        <v/>
      </c>
      <c r="H110" s="428"/>
      <c r="I110" s="240" t="str">
        <f>IF(H110="","","W")</f>
        <v/>
      </c>
      <c r="J110" s="428"/>
      <c r="K110" s="246" t="str">
        <f>IF(J110="","","V")</f>
        <v/>
      </c>
      <c r="L110" s="429"/>
      <c r="M110" s="430"/>
      <c r="N110" s="431"/>
      <c r="O110" s="164"/>
      <c r="P110" s="194"/>
      <c r="Q110" s="165"/>
      <c r="R110" s="166"/>
      <c r="S110" s="167" t="str">
        <f>IF(R110="","",IF(Q110="",P110/R110,P110/(Q110*R110)))</f>
        <v/>
      </c>
      <c r="T110" s="168"/>
      <c r="U110" s="169" t="str">
        <f>IF(OR(BA112="",S110=""),"",S110*1000*T110/(SQRT(BA110)*BA112))</f>
        <v/>
      </c>
      <c r="V110" s="236" t="str">
        <f>IF(AND(N(U110)=0,N(U111)=0,N(U112)=0,N(U113)=0),"",BA112/(SUM(U110:U113)))</f>
        <v/>
      </c>
      <c r="W110" s="220"/>
      <c r="X110" s="222"/>
      <c r="Y110" s="223"/>
      <c r="Z110" s="224"/>
      <c r="AA110" s="228"/>
      <c r="AB110" s="230"/>
      <c r="AC110" s="223"/>
      <c r="AD110" s="224"/>
      <c r="AE110" s="232"/>
      <c r="AF110" s="104" t="str">
        <f>IF(OR(AND(AF106="",N(BA108)=0,BA112&lt;&gt;0),D110&lt;&gt;""),AX112/AQ111,"")</f>
        <v/>
      </c>
      <c r="AG110" s="234" t="str">
        <f>IF(BA112=0,"",IF(AD112="",AX110,IF(AND(D110&lt;&gt;"",AU110=""),AX112*SQRT(AP112^2+AP113^2)/SQRT(AS110^2+AS111^2)/AQ111,AX110*SQRT(AP112^2+AP113^2)/SQRT(AS110^2+AS111^2))))</f>
        <v/>
      </c>
      <c r="AH110" s="235"/>
      <c r="AI110" s="105" t="str">
        <f>IF(AG110="","",IF(N(U110)&lt;0,-AX110*AQ111/SQRT(AS110^2+AS111^2),AX110*AQ111/SQRT(AS110^2+AS111^2)))</f>
        <v/>
      </c>
      <c r="AJ110" s="201"/>
      <c r="AK110" s="202"/>
      <c r="AL110" s="106"/>
      <c r="AM110" s="59"/>
      <c r="AN110" s="107" t="b">
        <f>IF(BA110="","",IF(AND(BA110=1,F112=50,L110="油入自冷"),VLOOKUP(L112,変１,2,FALSE),IF(AND(BA110=1,F112=50,L110="モ－ルド絶縁"),VLOOKUP(L112,変１,7,FALSE),IF(AND(BA110=1,F112=60,L110="油入自冷"),VLOOKUP(L112,変１,12,FALSE),IF(AND(BA110=1,F112=60,L110="モ－ルド絶縁"),VLOOKUP(L112,変１,17,FALSE),FALSE)))))</f>
        <v>0</v>
      </c>
      <c r="AO110" s="107">
        <f>IF(ISNA(VLOOKUP(L112,変ＵＳＥＲ,2,FALSE)),0,VLOOKUP(L112,変ＵＳＥＲ,2,FALSE))</f>
        <v>0</v>
      </c>
      <c r="AP110" s="108">
        <f>IF(N110="",0,N110*1000/BA112^2/SQRT(BA110))</f>
        <v>0</v>
      </c>
      <c r="AQ110" s="107" t="b">
        <f>IF(BA110=1,2,IF(BA110=3,SQRT(3),FALSE))</f>
        <v>0</v>
      </c>
      <c r="AR110" s="109" t="str">
        <f>IF(X110="","",IF(X110="600V IV",VLOOKUP(X112,ＩＶ,2,FALSE),IF(X110="600V CV-T",VLOOKUP(X112,ＣＶＴ,2,FALSE),IF(OR(X110="600V CV-1C",X110="600V CV-2C",X110="600V CV-3C",X110="600V CV-4C"),VLOOKUP(X112,ＣＶ２３Ｃ,2,FALSE),VLOOKUP(X112,ＣＵＳＥＲ,2,FALSE)))))</f>
        <v/>
      </c>
      <c r="AS110" s="107" t="str">
        <f>IF(AB113="",AP112,AP112+(AB113/1000))</f>
        <v/>
      </c>
      <c r="AT110" s="110" t="str">
        <f>IF(AU112="",AT112,AU112)</f>
        <v/>
      </c>
      <c r="AU110" s="110" t="str">
        <f>IF(D110="","",IF(AND(D174="",D178&lt;&gt;"",AV113=AV181),AT178,IF(AND(D174="",D178="",D182&lt;&gt;"",AV177=AV185),AT182,IF(AND(D174="",D178="",D182="",D186&lt;&gt;"",AV181=AV189),AT186,IF(AND(D174="",D178="",D182="",D186="",#REF!&lt;&gt;"",AV185=#REF!),#REF!,IF(AND(D174="",D178="",D182="",D186="",#REF!="",D190&lt;&gt;"",AV189=AV193),AT190,IF(AND(D174="",D178="",D182="",D186="",#REF!="",D190="",D194&lt;&gt;"",#REF!=AV197),AT194,"")))))))</f>
        <v/>
      </c>
      <c r="AV110" s="110" t="str">
        <f>IF(L110="発電機",IF(ISNA(VLOOKUP(L112,ＡＣＧ,2,FALSE)),0,VLOOKUP(L112,ＡＣＧ,2,FALSE)),"")</f>
        <v/>
      </c>
      <c r="AW110" s="111" t="str">
        <f>IF(AT110="","",AT110/((AT110*AP110)^2+(AT111*AP110-1)^2))</f>
        <v/>
      </c>
      <c r="AX110" s="112" t="str">
        <f>IF(BA112=0,"",IF(OR(AX106="",AF110&lt;&gt;""),AF110*SQRT(AS112^2+AS113^2)/SQRT(AT112^2+AT113^2),AX106*SQRT(AS112^2+AS113^2)/SQRT(AT112^2+AT113^2)))</f>
        <v/>
      </c>
      <c r="AY110" s="113">
        <f>IF(N(AY112)=10^30,10^30,IF(N(AY176)=10^30,(N(AY112)*(N(AY176)^2+N(AY177)^2)+N(AY176)*(N(AY112)^2+N(AY113)^2))/((N(AY112)+N(AY176))^2+(N(AY113)+N(AY177))^2),(N(AY112)*(N(AY174)^2+N(AY175)^2)+N(AY174)*(N(AY112)^2+N(AY113)^2))/((N(AY112)+N(AY174))^2+(N(AY113)+N(AY175))^2)))</f>
        <v>1E+30</v>
      </c>
      <c r="AZ110" s="52"/>
      <c r="BA110" s="114">
        <f>IF(AND(F110="",SUM(S110:S113)&lt;&gt;0),BA106,F110)</f>
        <v>0</v>
      </c>
      <c r="BB110" s="115">
        <f>IF(AND(BA110=3,S110&lt;&gt;""),1,0)</f>
        <v>0</v>
      </c>
      <c r="BC110" s="52"/>
      <c r="BD110" s="52"/>
      <c r="BH110" s="162">
        <f>IF(OR(E110="",F113="",AND(OR(P110="",Q110="",R110="",T110=""),OR(P111="",Q111="",R111="",T111=""),OR(P112="",Q112="",R112="",T112=""),OR(P113="",Q113="",R113="",T113="")),AND(OR(X110="",X112="",Y112="",Z112=""),OR(AB110="",AB112="",AC112="",AD112=""))),0,1)</f>
        <v>0</v>
      </c>
      <c r="BI110" s="162">
        <f>BH110+BI106</f>
        <v>4</v>
      </c>
      <c r="BJ110" s="4"/>
      <c r="BK110" s="4"/>
    </row>
    <row r="111" spans="1:63" ht="15" customHeight="1" x14ac:dyDescent="0.15">
      <c r="A111" s="159"/>
      <c r="B111" s="159"/>
      <c r="C111" s="245"/>
      <c r="D111" s="432"/>
      <c r="E111" s="448"/>
      <c r="F111" s="434"/>
      <c r="G111" s="241"/>
      <c r="H111" s="435"/>
      <c r="I111" s="241"/>
      <c r="J111" s="435"/>
      <c r="K111" s="247"/>
      <c r="L111" s="436"/>
      <c r="M111" s="170" t="str">
        <f>IF(L110="発電機",SQRT(AV110^2+AV111^2),IF(L112="","",IF(OR(L110="油入自冷",L110="モ－ルド絶縁"),IF(BA110=1,SQRT(AN110^2+AN111^2),IF(BA110=3,SQRT(AN112^2+AN113^2))),SQRT(AO110^2+AO111^2))))</f>
        <v/>
      </c>
      <c r="N111" s="437"/>
      <c r="O111" s="171"/>
      <c r="P111" s="195"/>
      <c r="Q111" s="172"/>
      <c r="R111" s="173"/>
      <c r="S111" s="174" t="str">
        <f t="shared" si="4"/>
        <v/>
      </c>
      <c r="T111" s="175"/>
      <c r="U111" s="176" t="str">
        <f>IF(OR(BA112="",S111=""),"",S111*1000*T111/(SQRT(BA110)*BA112))</f>
        <v/>
      </c>
      <c r="V111" s="237"/>
      <c r="W111" s="221"/>
      <c r="X111" s="225"/>
      <c r="Y111" s="226"/>
      <c r="Z111" s="227"/>
      <c r="AA111" s="229"/>
      <c r="AB111" s="231"/>
      <c r="AC111" s="226"/>
      <c r="AD111" s="227"/>
      <c r="AE111" s="233"/>
      <c r="AF111" s="124" t="str">
        <f>IF(OR(AF110="",AG106&lt;&gt;""),"",AF110*AQ111/SQRT(AT110^2+AT111^2))</f>
        <v/>
      </c>
      <c r="AG111" s="205" t="str">
        <f>IF(AG110="","",100*AG110*AQ111/BA112)</f>
        <v/>
      </c>
      <c r="AH111" s="206"/>
      <c r="AI111" s="207" t="str">
        <f>IF(BA112=0,"",IF(AI106="",AX112/SQRT(AT110^2+AT111^2),IF(AI114="","",IF(AT110&lt;0,-AX110*AQ107/SQRT(AT110^2+AT111^2),AX110*AQ107/SQRT(AT110^2+AT111^2)))))</f>
        <v/>
      </c>
      <c r="AJ111" s="203"/>
      <c r="AK111" s="204"/>
      <c r="AL111" s="125"/>
      <c r="AM111" s="59"/>
      <c r="AN111" s="107" t="b">
        <f>IF(BA110="","",IF(AND(BA110=1,F112=50,L110="油入自冷"),VLOOKUP(L112,変１,3,FALSE),IF(AND(BA110=1,F112=50,L110="モ－ルド絶縁"),VLOOKUP(L112,変１,8,FALSE),IF(AND(BA110=1,F112=60,L110="油入自冷"),VLOOKUP(L112,変１,13,FALSE),IF(AND(BA110=1,F112=60,L110="モ－ルド絶縁"),VLOOKUP(L112,変１,18,FALSE),FALSE)))))</f>
        <v>0</v>
      </c>
      <c r="AO111" s="107">
        <f>IF(ISNA(VLOOKUP(L112,変ＵＳＥＲ,3,FALSE)),0,VLOOKUP(L112,変ＵＳＥＲ,3,FALSE)*BA113/50)</f>
        <v>0</v>
      </c>
      <c r="AP111" s="108">
        <f>IF(W110="",0,W110*1000/BA112^2/SQRT(BA110))</f>
        <v>0</v>
      </c>
      <c r="AQ111" s="107">
        <f>IF(AND(BA110=1,BA111=2),1,IF(AND(BA110=3,BA111=3),1,IF(AND(BA110=1,BA111=3),2,IF(AND(BA110=3,BA111=4)*OR(BB110=1,BB111=1,BB112=1,BB113=1),1,SQRT(3)))))</f>
        <v>1.7320508075688772</v>
      </c>
      <c r="AR111" s="109" t="str">
        <f>IF(X110="","",IF(X110="600V IV",VLOOKUP(X112,ＩＶ,3,FALSE),IF(X110="600V CV-T",VLOOKUP(X112,ＣＶＴ,3,FALSE),IF(OR(X110="600V CV-1C",X110="600V CV-2C",X110="600V CV-3C",X110="600V CV-4C"),VLOOKUP(X112,ＣＶ２３Ｃ,3,FALSE),VLOOKUP(X112,ＣＵＳＥＲ,3,FALSE)))))</f>
        <v/>
      </c>
      <c r="AS111" s="107" t="str">
        <f>IF(AD113="",AP113,AP113+(AD113/1000))</f>
        <v/>
      </c>
      <c r="AT111" s="110" t="str">
        <f>IF(AU113="",AT113,AU113)</f>
        <v/>
      </c>
      <c r="AU111" s="110" t="str">
        <f>IF(D110="","",IF(AND(D174="",D178&lt;&gt;"",AV113=AV181),AT179,IF(AND(D174="",D178="",D182&lt;&gt;"",AV177=AV185),AT183,IF(AND(D174="",D178="",D182="",D186&lt;&gt;"",AV181=AV189),AT187,IF(AND(D174="",D178="",D182="",D186="",#REF!&lt;&gt;"",AV185=#REF!),#REF!,IF(AND(D174="",D178="",D182="",D186="",#REF!="",D190&lt;&gt;"",AV189=AV193),AT191,IF(AND(D174="",D178="",D182="",D186="",#REF!="",D190="",D194&lt;&gt;"",#REF!=AV197),AT195,"")))))))</f>
        <v/>
      </c>
      <c r="AV111" s="109" t="str">
        <f>IF(L110="発電機",IF(ISNA(VLOOKUP(L112,ＡＣＧ,3,FALSE)),0,VLOOKUP(L112,ＡＣＧ,3,FALSE)*BA113/50),"")</f>
        <v/>
      </c>
      <c r="AW111" s="111" t="str">
        <f>IF(AT111="","",(AT111-AP110*(AT110^2+AT111^2))/((AT110*AP110)^2+(AP110*AT111-1)^2))</f>
        <v/>
      </c>
      <c r="AX111" s="112"/>
      <c r="AY111" s="113">
        <f>IF(N(AY113)=10^30,10^30,IF(N(AY177)=10^30,(N(AY113)*(N(AY176)^2+N(AY177)^2)+N(AY177)*(N(AY112)^2+N(AY113)^2))/((N(AY112)+N(AY176))^2+(N(AY113)+N(AY177))^2),(N(AY113)*(N(AY174)^2+N(AY175)^2)+N(AY175)*(N(AY112)^2+N(AY113)^2))/((N(AY112)+N(AY174))^2+(N(AY113)+N(AY175))^2)))</f>
        <v>1E+30</v>
      </c>
      <c r="AZ111" s="52"/>
      <c r="BA111" s="114">
        <f>IF(AND(H110="",SUM(S110:S113)&lt;&gt;0),BA107,H110)</f>
        <v>0</v>
      </c>
      <c r="BB111" s="115">
        <f>IF(AND(BA110=3,S111&lt;&gt;""),1,0)</f>
        <v>0</v>
      </c>
      <c r="BC111" s="52"/>
      <c r="BD111" s="52"/>
      <c r="BH111" s="162"/>
      <c r="BI111" s="162"/>
      <c r="BJ111" s="4"/>
      <c r="BK111" s="4"/>
    </row>
    <row r="112" spans="1:63" ht="15" customHeight="1" x14ac:dyDescent="0.15">
      <c r="A112" s="159"/>
      <c r="B112" s="159"/>
      <c r="C112" s="245"/>
      <c r="D112" s="432"/>
      <c r="E112" s="448"/>
      <c r="F112" s="438"/>
      <c r="G112" s="438"/>
      <c r="H112" s="438"/>
      <c r="I112" s="438"/>
      <c r="J112" s="438"/>
      <c r="K112" s="439"/>
      <c r="L112" s="440"/>
      <c r="M112" s="441"/>
      <c r="N112" s="437"/>
      <c r="O112" s="171"/>
      <c r="P112" s="196"/>
      <c r="Q112" s="177"/>
      <c r="R112" s="173"/>
      <c r="S112" s="174" t="str">
        <f t="shared" si="4"/>
        <v/>
      </c>
      <c r="T112" s="175"/>
      <c r="U112" s="178" t="str">
        <f>IF(OR(BA112="",S112=""),"",S112*1000*T112/(SQRT(BA110)*BA112))</f>
        <v/>
      </c>
      <c r="V112" s="179" t="str">
        <f>IF(AND(N(U110)=0,N(U111)=0,N(U112)=0,N(U113)=0),"",V110*(P110*R110*T110+P111*R111*T111+P112*R112*T112+P113*R113*T113)/(P110*T110+P111*T111+P112*T112+P113*T113))</f>
        <v/>
      </c>
      <c r="W112" s="209" t="str">
        <f>IF(AND(N(AP112)=0,N(AP113)=0,N(AP111)=0),"",IF(AP113&gt;=0,COS(ATAN(AP113/AP112)),-COS(ATAN(AP113/AP112))))</f>
        <v/>
      </c>
      <c r="X112" s="180"/>
      <c r="Y112" s="181"/>
      <c r="Z112" s="182"/>
      <c r="AA112" s="183"/>
      <c r="AB112" s="184"/>
      <c r="AC112" s="181"/>
      <c r="AD112" s="182"/>
      <c r="AE112" s="185"/>
      <c r="AF112" s="136" t="str">
        <f>IF(OR(AF110="",AG106&lt;&gt;""),"",BA112/SQRT(AW112^2+AW113^2))</f>
        <v/>
      </c>
      <c r="AG112" s="205" t="str">
        <f>IF(AG110="","",100*((BA112/AQ111)-AG110)/(BA112/AQ111))</f>
        <v/>
      </c>
      <c r="AH112" s="206"/>
      <c r="AI112" s="208"/>
      <c r="AJ112" s="211"/>
      <c r="AK112" s="213"/>
      <c r="AL112" s="137"/>
      <c r="AM112" s="59"/>
      <c r="AN112" s="138" t="b">
        <f>IF(BA110="","",IF(AND(BA110=3,F112=50,L110="油入自冷"),VLOOKUP(L112,変３,2,FALSE),IF(AND(BA110=3,F112=50,L110="モ－ルド絶縁"),VLOOKUP(L112,変３,7,FALSE),IF(AND(BA110=3,F112=60,L110="油入自冷"),VLOOKUP(L112,変３,12,FALSE),IF(AND(BA110=3,F112=60,L110="モ－ルド絶縁"),VLOOKUP(L112,変３,17,FALSE),FALSE)))))</f>
        <v>0</v>
      </c>
      <c r="AO112" s="109" t="str">
        <f>IF(AND(L106="",N(AY110)&lt;10^29),AY110,"")</f>
        <v/>
      </c>
      <c r="AP112" s="139" t="str">
        <f>IF(V110="","",IF(AND(N(V112)=0,N(AP111)=0),"",AQ112/((AQ112*AP111)^2+(AP111*AQ113-1)^2)))</f>
        <v/>
      </c>
      <c r="AQ112" s="107">
        <f>IF(N(V112)=0,10^30,V112)</f>
        <v>1E+30</v>
      </c>
      <c r="AR112" s="109" t="str">
        <f>IF(AB110="","",IF(AB110="600V IV",VLOOKUP(AB112,ＩＶ,2,FALSE),IF(AB110="600V CV-T",VLOOKUP(AB112,ＣＶＴ,2,FALSE),IF(OR(AB110="600V CV-1C",AB110="600V CV-2C",AB110="600V CV-3C",AB110="600V CV-4C"),VLOOKUP(AB112,ＣＶ２３Ｃ,2,FALSE),VLOOKUP(AB112,ＣＵＳＥＲ,2,FALSE)))))</f>
        <v/>
      </c>
      <c r="AS112" s="107" t="str">
        <f>IF(OR(AND(AS174="",AS175=""),AND(D110="",D174&lt;&gt;"")),AS110,(AS110*(AT174^2+AT175^2)+AT174*(AS110^2+AS111^2))/((AS110+AT174)^2+(AS111+AT175)^2))</f>
        <v/>
      </c>
      <c r="AT112" s="110" t="str">
        <f>IF(X113="",AS112,N(AS112)+(X113/1000))</f>
        <v/>
      </c>
      <c r="AU112" s="110" t="str">
        <f>IF(AU110="","",(AT112*(AU110^2+AU111^2)+AU110*(AT112^2+AT113^2))/((AT112+AU110)^2+(AT113+AU111)^2))</f>
        <v/>
      </c>
      <c r="AV112" s="110">
        <f>IF(BA112=0,1,0)</f>
        <v>1</v>
      </c>
      <c r="AW112" s="111" t="str">
        <f>IF(AO112="","",AW110+AO112)</f>
        <v/>
      </c>
      <c r="AX112" s="112" t="str">
        <f>IF(AND(AX108="",AW112&lt;&gt;""),BA112*SQRT(AW110^2+AW111^2)/SQRT(AW112^2+AW113^2),IF(BA112&lt;&gt;0,AX108,""))</f>
        <v/>
      </c>
      <c r="AY112" s="140">
        <f>IF(L112="",10^30,SQRT(BA110)*(BA112^2)*(N(AN110)+N(AN112)+N(AO110)+N(AV110))/(100000*L112*M110))</f>
        <v>1E+30</v>
      </c>
      <c r="AZ112" s="141"/>
      <c r="BA112" s="114">
        <f>IF(AND(J110="",SUM(S110:S113)&lt;&gt;0),BA108,J110)</f>
        <v>0</v>
      </c>
      <c r="BB112" s="115">
        <f>IF(AND(BA110=3,S112&lt;&gt;""),1,0)</f>
        <v>0</v>
      </c>
      <c r="BC112" s="52"/>
      <c r="BD112" s="52"/>
      <c r="BH112" s="162"/>
      <c r="BI112" s="162"/>
      <c r="BJ112" s="4"/>
      <c r="BK112" s="4"/>
    </row>
    <row r="113" spans="1:63" ht="15" customHeight="1" x14ac:dyDescent="0.15">
      <c r="A113" s="159"/>
      <c r="B113" s="159"/>
      <c r="C113" s="245"/>
      <c r="D113" s="442"/>
      <c r="E113" s="449"/>
      <c r="F113" s="444"/>
      <c r="G113" s="444"/>
      <c r="H113" s="444"/>
      <c r="I113" s="444"/>
      <c r="J113" s="444"/>
      <c r="K113" s="445"/>
      <c r="L113" s="238" t="str">
        <f>IF(M110="","",L112*1000*M110/(SQRT(BA110)*BA112))</f>
        <v/>
      </c>
      <c r="M113" s="239"/>
      <c r="N113" s="446"/>
      <c r="O113" s="186"/>
      <c r="P113" s="197"/>
      <c r="Q113" s="187"/>
      <c r="R113" s="188"/>
      <c r="S113" s="189" t="str">
        <f t="shared" si="4"/>
        <v/>
      </c>
      <c r="T113" s="190"/>
      <c r="U113" s="191" t="str">
        <f>IF(OR(BA112="",S113=""),"",S113*1000*T113/(SQRT(BA110)*BA112))</f>
        <v/>
      </c>
      <c r="V113" s="192" t="str">
        <f>IF(AND(N(U110)=0,N(U111)=0,N(U112)=0,N(U113)=0),"",IF(V110&gt;=0,SQRT(ABS(V110^2-V112^2)),-SQRT(V110^2-V112^2)))</f>
        <v/>
      </c>
      <c r="W113" s="210"/>
      <c r="X113" s="215" t="str">
        <f>IF(Y112="","",AQ110*Z112*AR110*((1+0.00393*(F113-20))/1.2751)/Y112)</f>
        <v/>
      </c>
      <c r="Y113" s="216"/>
      <c r="Z113" s="217" t="str">
        <f>IF(Y112="","",(BA113/50)*AQ110*Z112*AR111/Y112)</f>
        <v/>
      </c>
      <c r="AA113" s="218"/>
      <c r="AB113" s="219" t="str">
        <f>IF(AC112="","",AQ110*AD112*AR112*((1+0.00393*(F113-20))/1.2751)/AC112)</f>
        <v/>
      </c>
      <c r="AC113" s="216"/>
      <c r="AD113" s="217" t="str">
        <f>IF(AC112="","",(BA113/50)*AQ110*AD112*AR113/AC112)</f>
        <v/>
      </c>
      <c r="AE113" s="242"/>
      <c r="AF113" s="150" t="str">
        <f>IF(AND(AX110&lt;&gt;"",D110=""),AX110,"")</f>
        <v/>
      </c>
      <c r="AG113" s="243" t="str">
        <f>IF(AP112="","",AP112)</f>
        <v/>
      </c>
      <c r="AH113" s="244"/>
      <c r="AI113" s="151" t="str">
        <f>IF(AP113="","",AP113)</f>
        <v/>
      </c>
      <c r="AJ113" s="212"/>
      <c r="AK113" s="214"/>
      <c r="AL113" s="152"/>
      <c r="AM113" s="59"/>
      <c r="AN113" s="153" t="b">
        <f>IF(BA110="","",IF(AND(BA110=3,F112=50,L110="油入自冷"),VLOOKUP(L112,変３,3,FALSE),IF(AND(BA110=3,F112=50,L110="モ－ルド絶縁"),VLOOKUP(L112,変３,8,FALSE),IF(AND(BA110=3,F112=60,L110="油入自冷"),VLOOKUP(L112,変３,13,FALSE),IF(AND(BA110=3,F112=60,L110="モ－ルド絶縁"),VLOOKUP(L112,変３,18,FALSE),FALSE)))))</f>
        <v>0</v>
      </c>
      <c r="AO113" s="153" t="str">
        <f>IF(AND(L106="",N(AY111)&lt;10^29),AY111,"")</f>
        <v/>
      </c>
      <c r="AP113" s="154" t="str">
        <f>IF(V110="","",IF(AND(N(V113)=0,N(AP111)=0),0,(AQ113-AP111*(AQ112^2+AQ113^2))/((AQ112*AP111)^2+(AP111*AQ113-1)^2)))</f>
        <v/>
      </c>
      <c r="AQ113" s="155">
        <f>IF(N(V113)=0,10^30,V113)</f>
        <v>1E+30</v>
      </c>
      <c r="AR113" s="153" t="str">
        <f>IF(AB110="","",IF(AB110="600V IV",VLOOKUP(AB112,ＩＶ,3,FALSE),IF(AB110="600V CV-T",VLOOKUP(AB112,ＣＶＴ,3,FALSE),IF(OR(AB110="600V CV-1C",AB110="600V CV-2C",AB110="600V CV-3C",AB110="600V CV-4C"),VLOOKUP(AB112,ＣＶ２３Ｃ,3,FALSE),VLOOKUP(AB112,ＣＵＳＥＲ,3,FALSE)))))</f>
        <v/>
      </c>
      <c r="AS113" s="155" t="str">
        <f>IF(OR(AND(AS174="",AS175=""),AND(D110="",D174&lt;&gt;"")),AS111,(AS111*(AT174^2+AT175^2)+AT175*(AS110^2+AS111^2))/((AS110+AT174)^2+(AS111+AT175)^2))</f>
        <v/>
      </c>
      <c r="AT113" s="156" t="str">
        <f>IF(Z113="",AS113,N(AS113)+(Z113/1000))</f>
        <v/>
      </c>
      <c r="AU113" s="156" t="str">
        <f>IF(AU111="","",(AT113*(AU110^2+AU111^2)+AU111*(AT112^2+AT113^2))/((AT112+AU110)^2+(AT113+AU111)^2))</f>
        <v/>
      </c>
      <c r="AV113" s="156">
        <f>AV109+AV112</f>
        <v>6</v>
      </c>
      <c r="AW113" s="155" t="str">
        <f>IF(AO113="","",AW111+AO113)</f>
        <v/>
      </c>
      <c r="AX113" s="157"/>
      <c r="AY113" s="140">
        <f>IF(L112="",10^30,SQRT(BA110)*(BA112^2)*(N(AN111)+N(AN113)+N(AO111)+N(AV111))/(100000*L112*M110))</f>
        <v>1E+30</v>
      </c>
      <c r="AZ113" s="141"/>
      <c r="BA113" s="114">
        <f>IF(AND(F112="",SUM(S110:S113)&lt;&gt;0),BA109,F112)</f>
        <v>0</v>
      </c>
      <c r="BB113" s="115">
        <f>IF(AND(BA110=3,S113&lt;&gt;""),1,0)</f>
        <v>0</v>
      </c>
      <c r="BC113" s="52"/>
      <c r="BD113" s="52"/>
      <c r="BH113" s="162"/>
      <c r="BI113" s="162"/>
      <c r="BJ113" s="4"/>
      <c r="BK113" s="4"/>
    </row>
    <row r="114" spans="1:63" ht="15" customHeight="1" x14ac:dyDescent="0.15">
      <c r="A114" s="159"/>
      <c r="B114" s="159"/>
      <c r="C114" s="245" t="str">
        <f>IF(BH114=1,"●","・")</f>
        <v>・</v>
      </c>
      <c r="D114" s="425"/>
      <c r="E114" s="447"/>
      <c r="F114" s="427"/>
      <c r="G114" s="240" t="str">
        <f>IF(F114="","","φ")</f>
        <v/>
      </c>
      <c r="H114" s="428"/>
      <c r="I114" s="240" t="str">
        <f>IF(H114="","","W")</f>
        <v/>
      </c>
      <c r="J114" s="428"/>
      <c r="K114" s="246" t="str">
        <f>IF(J114="","","V")</f>
        <v/>
      </c>
      <c r="L114" s="429"/>
      <c r="M114" s="430"/>
      <c r="N114" s="431"/>
      <c r="O114" s="164"/>
      <c r="P114" s="194"/>
      <c r="Q114" s="165"/>
      <c r="R114" s="166"/>
      <c r="S114" s="167" t="str">
        <f>IF(R114="","",IF(Q114="",P114/R114,P114/(Q114*R114)))</f>
        <v/>
      </c>
      <c r="T114" s="168"/>
      <c r="U114" s="169" t="str">
        <f>IF(OR(BA116="",S114=""),"",S114*1000*T114/(SQRT(BA114)*BA116))</f>
        <v/>
      </c>
      <c r="V114" s="236" t="str">
        <f>IF(AND(N(U114)=0,N(U115)=0,N(U116)=0,N(U117)=0),"",BA116/(SUM(U114:U117)))</f>
        <v/>
      </c>
      <c r="W114" s="220"/>
      <c r="X114" s="222"/>
      <c r="Y114" s="223"/>
      <c r="Z114" s="224"/>
      <c r="AA114" s="228"/>
      <c r="AB114" s="230"/>
      <c r="AC114" s="223"/>
      <c r="AD114" s="224"/>
      <c r="AE114" s="232"/>
      <c r="AF114" s="104" t="str">
        <f>IF(OR(AND(AF110="",N(BA112)=0,BA116&lt;&gt;0),D114&lt;&gt;""),AX116/AQ115,"")</f>
        <v/>
      </c>
      <c r="AG114" s="234" t="str">
        <f>IF(BA116=0,"",IF(AD116="",AX114,IF(AND(D114&lt;&gt;"",AU114=""),AX116*SQRT(AP116^2+AP117^2)/SQRT(AS114^2+AS115^2)/AQ115,AX114*SQRT(AP116^2+AP117^2)/SQRT(AS114^2+AS115^2))))</f>
        <v/>
      </c>
      <c r="AH114" s="235"/>
      <c r="AI114" s="105" t="str">
        <f>IF(AG114="","",IF(N(U114)&lt;0,-AX114*AQ115/SQRT(AS114^2+AS115^2),AX114*AQ115/SQRT(AS114^2+AS115^2)))</f>
        <v/>
      </c>
      <c r="AJ114" s="201"/>
      <c r="AK114" s="202"/>
      <c r="AL114" s="106"/>
      <c r="AM114" s="59"/>
      <c r="AN114" s="107" t="b">
        <f>IF(BA114="","",IF(AND(BA114=1,F116=50,L114="油入自冷"),VLOOKUP(L116,変１,2,FALSE),IF(AND(BA114=1,F116=50,L114="モ－ルド絶縁"),VLOOKUP(L116,変１,7,FALSE),IF(AND(BA114=1,F116=60,L114="油入自冷"),VLOOKUP(L116,変１,12,FALSE),IF(AND(BA114=1,F116=60,L114="モ－ルド絶縁"),VLOOKUP(L116,変１,17,FALSE),FALSE)))))</f>
        <v>0</v>
      </c>
      <c r="AO114" s="107">
        <f>IF(ISNA(VLOOKUP(L116,変ＵＳＥＲ,2,FALSE)),0,VLOOKUP(L116,変ＵＳＥＲ,2,FALSE))</f>
        <v>0</v>
      </c>
      <c r="AP114" s="108">
        <f>IF(N114="",0,N114*1000/BA116^2/SQRT(BA114))</f>
        <v>0</v>
      </c>
      <c r="AQ114" s="107" t="b">
        <f>IF(BA114=1,2,IF(BA114=3,SQRT(3),FALSE))</f>
        <v>0</v>
      </c>
      <c r="AR114" s="109" t="str">
        <f>IF(X114="","",IF(X114="600V IV",VLOOKUP(X116,ＩＶ,2,FALSE),IF(X114="600V CV-T",VLOOKUP(X116,ＣＶＴ,2,FALSE),IF(OR(X114="600V CV-1C",X114="600V CV-2C",X114="600V CV-3C",X114="600V CV-4C"),VLOOKUP(X116,ＣＶ２３Ｃ,2,FALSE),VLOOKUP(X116,ＣＵＳＥＲ,2,FALSE)))))</f>
        <v/>
      </c>
      <c r="AS114" s="107" t="str">
        <f>IF(AB117="",AP116,AP116+(AB117/1000))</f>
        <v/>
      </c>
      <c r="AT114" s="110" t="str">
        <f>IF(AU116="",AT116,AU116)</f>
        <v/>
      </c>
      <c r="AU114" s="110" t="str">
        <f>IF(D114="","",IF(AND(D178="",D182&lt;&gt;"",AV117=AV185),AT182,IF(AND(D178="",D182="",D186&lt;&gt;"",AV181=AV189),AT186,IF(AND(D178="",D182="",D186="",#REF!&lt;&gt;"",AV185=#REF!),#REF!,IF(AND(D178="",D182="",D186="",#REF!="",D190&lt;&gt;"",AV189=AV193),AT190,IF(AND(D178="",D182="",D186="",#REF!="",D190="",D194&lt;&gt;"",#REF!=AV197),AT194,IF(AND(D178="",D182="",D186="",#REF!="",D190="",D194="",D198&lt;&gt;"",AV193=AV201),AT198,"")))))))</f>
        <v/>
      </c>
      <c r="AV114" s="110" t="str">
        <f>IF(L114="発電機",IF(ISNA(VLOOKUP(L116,ＡＣＧ,2,FALSE)),0,VLOOKUP(L116,ＡＣＧ,2,FALSE)),"")</f>
        <v/>
      </c>
      <c r="AW114" s="111" t="str">
        <f>IF(AT114="","",AT114/((AT114*AP114)^2+(AT115*AP114-1)^2))</f>
        <v/>
      </c>
      <c r="AX114" s="112" t="str">
        <f>IF(BA116=0,"",IF(OR(AX110="",AF114&lt;&gt;""),AF114*SQRT(AS116^2+AS117^2)/SQRT(AT116^2+AT117^2),AX110*SQRT(AS116^2+AS117^2)/SQRT(AT116^2+AT117^2)))</f>
        <v/>
      </c>
      <c r="AY114" s="113">
        <f>IF(N(AY116)=10^30,10^30,IF(N(AY180)=10^30,(N(AY116)*(N(AY180)^2+N(AY181)^2)+N(AY180)*(N(AY116)^2+N(AY117)^2))/((N(AY116)+N(AY180))^2+(N(AY117)+N(AY181))^2),(N(AY116)*(N(AY178)^2+N(AY179)^2)+N(AY178)*(N(AY116)^2+N(AY117)^2))/((N(AY116)+N(AY178))^2+(N(AY117)+N(AY179))^2)))</f>
        <v>1E+30</v>
      </c>
      <c r="AZ114" s="52"/>
      <c r="BA114" s="114">
        <f>IF(AND(F114="",SUM(S114:S117)&lt;&gt;0),BA110,F114)</f>
        <v>0</v>
      </c>
      <c r="BB114" s="115">
        <f>IF(AND(BA114=3,S114&lt;&gt;""),1,0)</f>
        <v>0</v>
      </c>
      <c r="BC114" s="52"/>
      <c r="BD114" s="52"/>
      <c r="BH114" s="162">
        <f>IF(OR(E114="",F117="",AND(OR(P114="",Q114="",R114="",T114=""),OR(P115="",Q115="",R115="",T115=""),OR(P116="",Q116="",R116="",T116=""),OR(P117="",Q117="",R117="",T117="")),AND(OR(X114="",X116="",Y116="",Z116=""),OR(AB114="",AB116="",AC116="",AD116=""))),0,1)</f>
        <v>0</v>
      </c>
      <c r="BI114" s="162">
        <f>BH114+BI110</f>
        <v>4</v>
      </c>
      <c r="BJ114" s="4"/>
      <c r="BK114" s="4"/>
    </row>
    <row r="115" spans="1:63" ht="15" customHeight="1" x14ac:dyDescent="0.15">
      <c r="A115" s="159"/>
      <c r="B115" s="159"/>
      <c r="C115" s="245"/>
      <c r="D115" s="432"/>
      <c r="E115" s="448"/>
      <c r="F115" s="434"/>
      <c r="G115" s="241"/>
      <c r="H115" s="435"/>
      <c r="I115" s="241"/>
      <c r="J115" s="435"/>
      <c r="K115" s="247"/>
      <c r="L115" s="436"/>
      <c r="M115" s="170" t="str">
        <f>IF(L114="発電機",SQRT(AV114^2+AV115^2),IF(L116="","",IF(OR(L114="油入自冷",L114="モ－ルド絶縁"),IF(BA114=1,SQRT(AN114^2+AN115^2),IF(BA114=3,SQRT(AN116^2+AN117^2))),SQRT(AO114^2+AO115^2))))</f>
        <v/>
      </c>
      <c r="N115" s="437"/>
      <c r="O115" s="171"/>
      <c r="P115" s="195"/>
      <c r="Q115" s="172"/>
      <c r="R115" s="173"/>
      <c r="S115" s="174" t="str">
        <f t="shared" si="4"/>
        <v/>
      </c>
      <c r="T115" s="175"/>
      <c r="U115" s="176" t="str">
        <f>IF(OR(BA116="",S115=""),"",S115*1000*T115/(SQRT(BA114)*BA116))</f>
        <v/>
      </c>
      <c r="V115" s="237"/>
      <c r="W115" s="221"/>
      <c r="X115" s="225"/>
      <c r="Y115" s="226"/>
      <c r="Z115" s="227"/>
      <c r="AA115" s="229"/>
      <c r="AB115" s="231"/>
      <c r="AC115" s="226"/>
      <c r="AD115" s="227"/>
      <c r="AE115" s="233"/>
      <c r="AF115" s="124" t="str">
        <f>IF(OR(AF114="",AG110&lt;&gt;""),"",AF114*AQ115/SQRT(AT114^2+AT115^2))</f>
        <v/>
      </c>
      <c r="AG115" s="205" t="str">
        <f>IF(AG114="","",100*AG114*AQ115/BA116)</f>
        <v/>
      </c>
      <c r="AH115" s="206"/>
      <c r="AI115" s="207" t="str">
        <f>IF(BA116=0,"",IF(AI110="",AX116/SQRT(AT114^2+AT115^2),IF(AI118="","",IF(AT114&lt;0,-AX114*AQ111/SQRT(AT114^2+AT115^2),AX114*AQ111/SQRT(AT114^2+AT115^2)))))</f>
        <v/>
      </c>
      <c r="AJ115" s="203"/>
      <c r="AK115" s="204"/>
      <c r="AL115" s="125"/>
      <c r="AM115" s="59"/>
      <c r="AN115" s="107" t="b">
        <f>IF(BA114="","",IF(AND(BA114=1,F116=50,L114="油入自冷"),VLOOKUP(L116,変１,3,FALSE),IF(AND(BA114=1,F116=50,L114="モ－ルド絶縁"),VLOOKUP(L116,変１,8,FALSE),IF(AND(BA114=1,F116=60,L114="油入自冷"),VLOOKUP(L116,変１,13,FALSE),IF(AND(BA114=1,F116=60,L114="モ－ルド絶縁"),VLOOKUP(L116,変１,18,FALSE),FALSE)))))</f>
        <v>0</v>
      </c>
      <c r="AO115" s="107">
        <f>IF(ISNA(VLOOKUP(L116,変ＵＳＥＲ,3,FALSE)),0,VLOOKUP(L116,変ＵＳＥＲ,3,FALSE)*BA117/50)</f>
        <v>0</v>
      </c>
      <c r="AP115" s="108">
        <f>IF(W114="",0,W114*1000/BA116^2/SQRT(BA114))</f>
        <v>0</v>
      </c>
      <c r="AQ115" s="107">
        <f>IF(AND(BA114=1,BA115=2),1,IF(AND(BA114=3,BA115=3),1,IF(AND(BA114=1,BA115=3),2,IF(AND(BA114=3,BA115=4)*OR(BB114=1,BB115=1,BB116=1,BB117=1),1,SQRT(3)))))</f>
        <v>1.7320508075688772</v>
      </c>
      <c r="AR115" s="109" t="str">
        <f>IF(X114="","",IF(X114="600V IV",VLOOKUP(X116,ＩＶ,3,FALSE),IF(X114="600V CV-T",VLOOKUP(X116,ＣＶＴ,3,FALSE),IF(OR(X114="600V CV-1C",X114="600V CV-2C",X114="600V CV-3C",X114="600V CV-4C"),VLOOKUP(X116,ＣＶ２３Ｃ,3,FALSE),VLOOKUP(X116,ＣＵＳＥＲ,3,FALSE)))))</f>
        <v/>
      </c>
      <c r="AS115" s="107" t="str">
        <f>IF(AD117="",AP117,AP117+(AD117/1000))</f>
        <v/>
      </c>
      <c r="AT115" s="110" t="str">
        <f>IF(AU117="",AT117,AU117)</f>
        <v/>
      </c>
      <c r="AU115" s="110" t="str">
        <f>IF(D114="","",IF(AND(D178="",D182&lt;&gt;"",AV117=AV185),AT183,IF(AND(D178="",D182="",D186&lt;&gt;"",AV181=AV189),AT187,IF(AND(D178="",D182="",D186="",#REF!&lt;&gt;"",AV185=#REF!),#REF!,IF(AND(D178="",D182="",D186="",#REF!="",D190&lt;&gt;"",AV189=AV193),AT191,IF(AND(D178="",D182="",D186="",#REF!="",D190="",D194&lt;&gt;"",#REF!=AV197),AT195,IF(AND(D178="",D182="",D186="",#REF!="",D190="",D194="",D198&lt;&gt;"",AV193=AV201),AT199,"")))))))</f>
        <v/>
      </c>
      <c r="AV115" s="109" t="str">
        <f>IF(L114="発電機",IF(ISNA(VLOOKUP(L116,ＡＣＧ,3,FALSE)),0,VLOOKUP(L116,ＡＣＧ,3,FALSE)*BA117/50),"")</f>
        <v/>
      </c>
      <c r="AW115" s="111" t="str">
        <f>IF(AT115="","",(AT115-AP114*(AT114^2+AT115^2))/((AT114*AP114)^2+(AP114*AT115-1)^2))</f>
        <v/>
      </c>
      <c r="AX115" s="112"/>
      <c r="AY115" s="113">
        <f>IF(N(AY117)=10^30,10^30,IF(N(AY181)=10^30,(N(AY117)*(N(AY180)^2+N(AY181)^2)+N(AY181)*(N(AY116)^2+N(AY117)^2))/((N(AY116)+N(AY180))^2+(N(AY117)+N(AY181))^2),(N(AY117)*(N(AY178)^2+N(AY179)^2)+N(AY179)*(N(AY116)^2+N(AY117)^2))/((N(AY116)+N(AY178))^2+(N(AY117)+N(AY179))^2)))</f>
        <v>1E+30</v>
      </c>
      <c r="AZ115" s="52"/>
      <c r="BA115" s="114">
        <f>IF(AND(H114="",SUM(S114:S117)&lt;&gt;0),BA111,H114)</f>
        <v>0</v>
      </c>
      <c r="BB115" s="115">
        <f>IF(AND(BA114=3,S115&lt;&gt;""),1,0)</f>
        <v>0</v>
      </c>
      <c r="BC115" s="52"/>
      <c r="BD115" s="52"/>
      <c r="BH115" s="162"/>
      <c r="BI115" s="162"/>
      <c r="BJ115" s="4"/>
      <c r="BK115" s="4"/>
    </row>
    <row r="116" spans="1:63" ht="15" customHeight="1" x14ac:dyDescent="0.15">
      <c r="A116" s="159"/>
      <c r="B116" s="159"/>
      <c r="C116" s="245"/>
      <c r="D116" s="432"/>
      <c r="E116" s="448"/>
      <c r="F116" s="438"/>
      <c r="G116" s="438"/>
      <c r="H116" s="438"/>
      <c r="I116" s="438"/>
      <c r="J116" s="438"/>
      <c r="K116" s="439"/>
      <c r="L116" s="440"/>
      <c r="M116" s="441"/>
      <c r="N116" s="437"/>
      <c r="O116" s="171"/>
      <c r="P116" s="196"/>
      <c r="Q116" s="177"/>
      <c r="R116" s="173"/>
      <c r="S116" s="174" t="str">
        <f t="shared" si="4"/>
        <v/>
      </c>
      <c r="T116" s="175"/>
      <c r="U116" s="178" t="str">
        <f>IF(OR(BA116="",S116=""),"",S116*1000*T116/(SQRT(BA114)*BA116))</f>
        <v/>
      </c>
      <c r="V116" s="179" t="str">
        <f>IF(AND(N(U114)=0,N(U115)=0,N(U116)=0,N(U117)=0),"",V114*(P114*R114*T114+P115*R115*T115+P116*R116*T116+P117*R117*T117)/(P114*T114+P115*T115+P116*T116+P117*T117))</f>
        <v/>
      </c>
      <c r="W116" s="209" t="str">
        <f>IF(AND(N(AP116)=0,N(AP117)=0,N(AP115)=0),"",IF(AP117&gt;=0,COS(ATAN(AP117/AP116)),-COS(ATAN(AP117/AP116))))</f>
        <v/>
      </c>
      <c r="X116" s="180"/>
      <c r="Y116" s="181"/>
      <c r="Z116" s="182"/>
      <c r="AA116" s="183"/>
      <c r="AB116" s="184"/>
      <c r="AC116" s="181"/>
      <c r="AD116" s="182"/>
      <c r="AE116" s="185"/>
      <c r="AF116" s="136" t="str">
        <f>IF(OR(AF114="",AG110&lt;&gt;""),"",BA116/SQRT(AW116^2+AW117^2))</f>
        <v/>
      </c>
      <c r="AG116" s="205" t="str">
        <f>IF(AG114="","",100*((BA116/AQ115)-AG114)/(BA116/AQ115))</f>
        <v/>
      </c>
      <c r="AH116" s="206"/>
      <c r="AI116" s="208"/>
      <c r="AJ116" s="211"/>
      <c r="AK116" s="213"/>
      <c r="AL116" s="137"/>
      <c r="AM116" s="59"/>
      <c r="AN116" s="138" t="b">
        <f>IF(BA114="","",IF(AND(BA114=3,F116=50,L114="油入自冷"),VLOOKUP(L116,変３,2,FALSE),IF(AND(BA114=3,F116=50,L114="モ－ルド絶縁"),VLOOKUP(L116,変３,7,FALSE),IF(AND(BA114=3,F116=60,L114="油入自冷"),VLOOKUP(L116,変３,12,FALSE),IF(AND(BA114=3,F116=60,L114="モ－ルド絶縁"),VLOOKUP(L116,変３,17,FALSE),FALSE)))))</f>
        <v>0</v>
      </c>
      <c r="AO116" s="109" t="str">
        <f>IF(AND(L110="",N(AY114)&lt;10^29),AY114,"")</f>
        <v/>
      </c>
      <c r="AP116" s="139" t="str">
        <f>IF(V114="","",IF(AND(N(V116)=0,N(AP115)=0),"",AQ116/((AQ116*AP115)^2+(AP115*AQ117-1)^2)))</f>
        <v/>
      </c>
      <c r="AQ116" s="107">
        <f>IF(N(V116)=0,10^30,V116)</f>
        <v>1E+30</v>
      </c>
      <c r="AR116" s="109" t="str">
        <f>IF(AB114="","",IF(AB114="600V IV",VLOOKUP(AB116,ＩＶ,2,FALSE),IF(AB114="600V CV-T",VLOOKUP(AB116,ＣＶＴ,2,FALSE),IF(OR(AB114="600V CV-1C",AB114="600V CV-2C",AB114="600V CV-3C",AB114="600V CV-4C"),VLOOKUP(AB116,ＣＶ２３Ｃ,2,FALSE),VLOOKUP(AB116,ＣＵＳＥＲ,2,FALSE)))))</f>
        <v/>
      </c>
      <c r="AS116" s="107" t="str">
        <f>IF(OR(AND(AS178="",AS179=""),AND(D114="",D178&lt;&gt;"")),AS114,(AS114*(AT178^2+AT179^2)+AT178*(AS114^2+AS115^2))/((AS114+AT178)^2+(AS115+AT179)^2))</f>
        <v/>
      </c>
      <c r="AT116" s="110" t="str">
        <f>IF(X117="",AS116,N(AS116)+(X117/1000))</f>
        <v/>
      </c>
      <c r="AU116" s="110" t="str">
        <f>IF(AU114="","",(AT116*(AU114^2+AU115^2)+AU114*(AT116^2+AT117^2))/((AT116+AU114)^2+(AT117+AU115)^2))</f>
        <v/>
      </c>
      <c r="AV116" s="110">
        <f>IF(BA116=0,1,0)</f>
        <v>1</v>
      </c>
      <c r="AW116" s="111" t="str">
        <f>IF(AO116="","",AW114+AO116)</f>
        <v/>
      </c>
      <c r="AX116" s="112" t="str">
        <f>IF(AND(AX112="",AW116&lt;&gt;""),BA116*SQRT(AW114^2+AW115^2)/SQRT(AW116^2+AW117^2),IF(BA116&lt;&gt;0,AX112,""))</f>
        <v/>
      </c>
      <c r="AY116" s="140">
        <f>IF(L116="",10^30,SQRT(BA114)*(BA116^2)*(N(AN114)+N(AN116)+N(AO114)+N(AV114))/(100000*L116*M114))</f>
        <v>1E+30</v>
      </c>
      <c r="AZ116" s="141"/>
      <c r="BA116" s="114">
        <f>IF(AND(J114="",SUM(S114:S117)&lt;&gt;0),BA112,J114)</f>
        <v>0</v>
      </c>
      <c r="BB116" s="115">
        <f>IF(AND(BA114=3,S116&lt;&gt;""),1,0)</f>
        <v>0</v>
      </c>
      <c r="BC116" s="52"/>
      <c r="BD116" s="52"/>
      <c r="BH116" s="162"/>
      <c r="BI116" s="162"/>
      <c r="BJ116" s="4"/>
      <c r="BK116" s="4"/>
    </row>
    <row r="117" spans="1:63" ht="15" customHeight="1" x14ac:dyDescent="0.15">
      <c r="A117" s="159"/>
      <c r="B117" s="159"/>
      <c r="C117" s="245"/>
      <c r="D117" s="442"/>
      <c r="E117" s="449"/>
      <c r="F117" s="444"/>
      <c r="G117" s="444"/>
      <c r="H117" s="444"/>
      <c r="I117" s="444"/>
      <c r="J117" s="444"/>
      <c r="K117" s="445"/>
      <c r="L117" s="238" t="str">
        <f>IF(M114="","",L116*1000*M114/(SQRT(BA114)*BA116))</f>
        <v/>
      </c>
      <c r="M117" s="239"/>
      <c r="N117" s="446"/>
      <c r="O117" s="186"/>
      <c r="P117" s="197"/>
      <c r="Q117" s="187"/>
      <c r="R117" s="188"/>
      <c r="S117" s="189" t="str">
        <f t="shared" si="4"/>
        <v/>
      </c>
      <c r="T117" s="190"/>
      <c r="U117" s="191" t="str">
        <f>IF(OR(BA116="",S117=""),"",S117*1000*T117/(SQRT(BA114)*BA116))</f>
        <v/>
      </c>
      <c r="V117" s="192" t="str">
        <f>IF(AND(N(U114)=0,N(U115)=0,N(U116)=0,N(U117)=0),"",IF(V114&gt;=0,SQRT(ABS(V114^2-V116^2)),-SQRT(V114^2-V116^2)))</f>
        <v/>
      </c>
      <c r="W117" s="210"/>
      <c r="X117" s="215" t="str">
        <f>IF(Y116="","",AQ114*Z116*AR114*((1+0.00393*(F117-20))/1.2751)/Y116)</f>
        <v/>
      </c>
      <c r="Y117" s="216"/>
      <c r="Z117" s="217" t="str">
        <f>IF(Y116="","",(BA117/50)*AQ114*Z116*AR115/Y116)</f>
        <v/>
      </c>
      <c r="AA117" s="218"/>
      <c r="AB117" s="219" t="str">
        <f>IF(AC116="","",AQ114*AD116*AR116*((1+0.00393*(F117-20))/1.2751)/AC116)</f>
        <v/>
      </c>
      <c r="AC117" s="216"/>
      <c r="AD117" s="217" t="str">
        <f>IF(AC116="","",(BA117/50)*AQ114*AD116*AR117/AC116)</f>
        <v/>
      </c>
      <c r="AE117" s="242"/>
      <c r="AF117" s="150" t="str">
        <f>IF(AND(AX114&lt;&gt;"",D114=""),AX114,"")</f>
        <v/>
      </c>
      <c r="AG117" s="243" t="str">
        <f>IF(AP116="","",AP116)</f>
        <v/>
      </c>
      <c r="AH117" s="244"/>
      <c r="AI117" s="151" t="str">
        <f>IF(AP117="","",AP117)</f>
        <v/>
      </c>
      <c r="AJ117" s="212"/>
      <c r="AK117" s="214"/>
      <c r="AL117" s="152"/>
      <c r="AM117" s="59"/>
      <c r="AN117" s="153" t="b">
        <f>IF(BA114="","",IF(AND(BA114=3,F116=50,L114="油入自冷"),VLOOKUP(L116,変３,3,FALSE),IF(AND(BA114=3,F116=50,L114="モ－ルド絶縁"),VLOOKUP(L116,変３,8,FALSE),IF(AND(BA114=3,F116=60,L114="油入自冷"),VLOOKUP(L116,変３,13,FALSE),IF(AND(BA114=3,F116=60,L114="モ－ルド絶縁"),VLOOKUP(L116,変３,18,FALSE),FALSE)))))</f>
        <v>0</v>
      </c>
      <c r="AO117" s="153" t="str">
        <f>IF(AND(L110="",N(AY115)&lt;10^29),AY115,"")</f>
        <v/>
      </c>
      <c r="AP117" s="154" t="str">
        <f>IF(V114="","",IF(AND(N(V117)=0,N(AP115)=0),0,(AQ117-AP115*(AQ116^2+AQ117^2))/((AQ116*AP115)^2+(AP115*AQ117-1)^2)))</f>
        <v/>
      </c>
      <c r="AQ117" s="155">
        <f>IF(N(V117)=0,10^30,V117)</f>
        <v>1E+30</v>
      </c>
      <c r="AR117" s="153" t="str">
        <f>IF(AB114="","",IF(AB114="600V IV",VLOOKUP(AB116,ＩＶ,3,FALSE),IF(AB114="600V CV-T",VLOOKUP(AB116,ＣＶＴ,3,FALSE),IF(OR(AB114="600V CV-1C",AB114="600V CV-2C",AB114="600V CV-3C",AB114="600V CV-4C"),VLOOKUP(AB116,ＣＶ２３Ｃ,3,FALSE),VLOOKUP(AB116,ＣＵＳＥＲ,3,FALSE)))))</f>
        <v/>
      </c>
      <c r="AS117" s="155" t="str">
        <f>IF(OR(AND(AS178="",AS179=""),AND(D114="",D178&lt;&gt;"")),AS115,(AS115*(AT178^2+AT179^2)+AT179*(AS114^2+AS115^2))/((AS114+AT178)^2+(AS115+AT179)^2))</f>
        <v/>
      </c>
      <c r="AT117" s="156" t="str">
        <f>IF(Z117="",AS117,N(AS117)+(Z117/1000))</f>
        <v/>
      </c>
      <c r="AU117" s="156" t="str">
        <f>IF(AU115="","",(AT117*(AU114^2+AU115^2)+AU115*(AT116^2+AT117^2))/((AT116+AU114)^2+(AT117+AU115)^2))</f>
        <v/>
      </c>
      <c r="AV117" s="156">
        <f>AV113+AV116</f>
        <v>7</v>
      </c>
      <c r="AW117" s="155" t="str">
        <f>IF(AO117="","",AW115+AO117)</f>
        <v/>
      </c>
      <c r="AX117" s="157"/>
      <c r="AY117" s="140">
        <f>IF(L116="",10^30,SQRT(BA114)*(BA116^2)*(N(AN115)+N(AN117)+N(AO115)+N(AV115))/(100000*L116*M114))</f>
        <v>1E+30</v>
      </c>
      <c r="AZ117" s="141"/>
      <c r="BA117" s="114">
        <f>IF(AND(F116="",SUM(S114:S117)&lt;&gt;0),BA113,F116)</f>
        <v>0</v>
      </c>
      <c r="BB117" s="115">
        <f>IF(AND(BA114=3,S117&lt;&gt;""),1,0)</f>
        <v>0</v>
      </c>
      <c r="BC117" s="52"/>
      <c r="BD117" s="52"/>
      <c r="BH117" s="162"/>
      <c r="BI117" s="162"/>
      <c r="BJ117" s="4"/>
      <c r="BK117" s="4"/>
    </row>
    <row r="118" spans="1:63" ht="15" customHeight="1" x14ac:dyDescent="0.15">
      <c r="A118" s="159"/>
      <c r="B118" s="159"/>
      <c r="C118" s="245" t="str">
        <f>IF(BH118=1,"●","・")</f>
        <v>・</v>
      </c>
      <c r="D118" s="425"/>
      <c r="E118" s="447"/>
      <c r="F118" s="427"/>
      <c r="G118" s="240" t="str">
        <f>IF(F118="","","φ")</f>
        <v/>
      </c>
      <c r="H118" s="428"/>
      <c r="I118" s="240" t="str">
        <f>IF(H118="","","W")</f>
        <v/>
      </c>
      <c r="J118" s="428"/>
      <c r="K118" s="246" t="str">
        <f>IF(J118="","","V")</f>
        <v/>
      </c>
      <c r="L118" s="429"/>
      <c r="M118" s="430"/>
      <c r="N118" s="431"/>
      <c r="O118" s="164"/>
      <c r="P118" s="194"/>
      <c r="Q118" s="165"/>
      <c r="R118" s="166"/>
      <c r="S118" s="167" t="str">
        <f>IF(R118="","",IF(Q118="",P118/R118,P118/(Q118*R118)))</f>
        <v/>
      </c>
      <c r="T118" s="168"/>
      <c r="U118" s="169" t="str">
        <f>IF(OR(BA120="",S118=""),"",S118*1000*T118/(SQRT(BA118)*BA120))</f>
        <v/>
      </c>
      <c r="V118" s="236" t="str">
        <f>IF(AND(N(U118)=0,N(U119)=0,N(U120)=0,N(U121)=0),"",BA120/(SUM(U118:U121)))</f>
        <v/>
      </c>
      <c r="W118" s="220"/>
      <c r="X118" s="222"/>
      <c r="Y118" s="223"/>
      <c r="Z118" s="224"/>
      <c r="AA118" s="228"/>
      <c r="AB118" s="230"/>
      <c r="AC118" s="223"/>
      <c r="AD118" s="224"/>
      <c r="AE118" s="232"/>
      <c r="AF118" s="104" t="str">
        <f>IF(OR(AND(AF114="",N(BA116)=0,BA120&lt;&gt;0),D118&lt;&gt;""),AX120/AQ119,"")</f>
        <v/>
      </c>
      <c r="AG118" s="234" t="str">
        <f>IF(BA120=0,"",IF(AD120="",AX118,IF(AND(D118&lt;&gt;"",AU118=""),AX120*SQRT(AP120^2+AP121^2)/SQRT(AS118^2+AS119^2)/AQ119,AX118*SQRT(AP120^2+AP121^2)/SQRT(AS118^2+AS119^2))))</f>
        <v/>
      </c>
      <c r="AH118" s="235"/>
      <c r="AI118" s="105" t="str">
        <f>IF(AG118="","",IF(N(U118)&lt;0,-AX118*AQ119/SQRT(AS118^2+AS119^2),AX118*AQ119/SQRT(AS118^2+AS119^2)))</f>
        <v/>
      </c>
      <c r="AJ118" s="201"/>
      <c r="AK118" s="202"/>
      <c r="AL118" s="106"/>
      <c r="AM118" s="59"/>
      <c r="AN118" s="107" t="b">
        <f>IF(BA118="","",IF(AND(BA118=1,F120=50,L118="油入自冷"),VLOOKUP(L120,変１,2,FALSE),IF(AND(BA118=1,F120=50,L118="モ－ルド絶縁"),VLOOKUP(L120,変１,7,FALSE),IF(AND(BA118=1,F120=60,L118="油入自冷"),VLOOKUP(L120,変１,12,FALSE),IF(AND(BA118=1,F120=60,L118="モ－ルド絶縁"),VLOOKUP(L120,変１,17,FALSE),FALSE)))))</f>
        <v>0</v>
      </c>
      <c r="AO118" s="107">
        <f>IF(ISNA(VLOOKUP(L120,変ＵＳＥＲ,2,FALSE)),0,VLOOKUP(L120,変ＵＳＥＲ,2,FALSE))</f>
        <v>0</v>
      </c>
      <c r="AP118" s="108">
        <f>IF(N118="",0,N118*1000/BA120^2/SQRT(BA118))</f>
        <v>0</v>
      </c>
      <c r="AQ118" s="107" t="b">
        <f>IF(BA118=1,2,IF(BA118=3,SQRT(3),FALSE))</f>
        <v>0</v>
      </c>
      <c r="AR118" s="109" t="str">
        <f>IF(X118="","",IF(X118="600V IV",VLOOKUP(X120,ＩＶ,2,FALSE),IF(X118="600V CV-T",VLOOKUP(X120,ＣＶＴ,2,FALSE),IF(OR(X118="600V CV-1C",X118="600V CV-2C",X118="600V CV-3C",X118="600V CV-4C"),VLOOKUP(X120,ＣＶ２３Ｃ,2,FALSE),VLOOKUP(X120,ＣＵＳＥＲ,2,FALSE)))))</f>
        <v/>
      </c>
      <c r="AS118" s="107" t="str">
        <f>IF(AB121="",AP120,AP120+(AB121/1000))</f>
        <v/>
      </c>
      <c r="AT118" s="110" t="str">
        <f>IF(AU120="",AT120,AU120)</f>
        <v/>
      </c>
      <c r="AU118" s="110" t="str">
        <f>IF(D118="","",IF(AND(D182="",D186&lt;&gt;"",AV121=AV189),AT186,IF(AND(D182="",D186="",#REF!&lt;&gt;"",AV185=#REF!),#REF!,IF(AND(D182="",D186="",#REF!="",D190&lt;&gt;"",AV189=AV193),AT190,IF(AND(D182="",D186="",#REF!="",D190="",D194&lt;&gt;"",#REF!=AV197),AT194,IF(AND(D182="",D186="",#REF!="",D190="",D194="",D198&lt;&gt;"",AV193=AV201),AT198,IF(AND(D182="",D186="",#REF!="",D190="",D194="",D198="",D202&lt;&gt;"",AV197=AV205),AT202,"")))))))</f>
        <v/>
      </c>
      <c r="AV118" s="110" t="str">
        <f>IF(L118="発電機",IF(ISNA(VLOOKUP(L120,ＡＣＧ,2,FALSE)),0,VLOOKUP(L120,ＡＣＧ,2,FALSE)),"")</f>
        <v/>
      </c>
      <c r="AW118" s="111" t="str">
        <f>IF(AT118="","",AT118/((AT118*AP118)^2+(AT119*AP118-1)^2))</f>
        <v/>
      </c>
      <c r="AX118" s="112" t="str">
        <f>IF(BA120=0,"",IF(OR(AX54="",AF118&lt;&gt;""),AF118*SQRT(AS120^2+AS121^2)/SQRT(AT120^2+AT121^2),AX54*SQRT(AS120^2+AS121^2)/SQRT(AT120^2+AT121^2)))</f>
        <v/>
      </c>
      <c r="AY118" s="113">
        <f>IF(N(AY120)=10^30,10^30,IF(N(AY184)=10^30,(N(AY120)*(N(AY184)^2+N(AY185)^2)+N(AY184)*(N(AY120)^2+N(AY121)^2))/((N(AY120)+N(AY184))^2+(N(AY121)+N(AY185))^2),(N(AY120)*(N(AY182)^2+N(AY183)^2)+N(AY182)*(N(AY120)^2+N(AY121)^2))/((N(AY120)+N(AY182))^2+(N(AY121)+N(AY183))^2)))</f>
        <v>1E+30</v>
      </c>
      <c r="AZ118" s="52"/>
      <c r="BA118" s="114">
        <f>IF(AND(F118="",SUM(S118:S121)&lt;&gt;0),BA54,F118)</f>
        <v>0</v>
      </c>
      <c r="BB118" s="115">
        <f>IF(AND(BA118=3,S118&lt;&gt;""),1,0)</f>
        <v>0</v>
      </c>
      <c r="BC118" s="52"/>
      <c r="BD118" s="52"/>
      <c r="BH118" s="162">
        <f>IF(OR(E118="",F121="",AND(OR(P118="",Q118="",R118="",T118=""),OR(P119="",Q119="",R119="",T119=""),OR(P120="",Q120="",R120="",T120=""),OR(P121="",Q121="",R121="",T121="")),AND(OR(X118="",X120="",Y120="",Z120=""),OR(AB118="",AB120="",AC120="",AD120=""))),0,1)</f>
        <v>0</v>
      </c>
      <c r="BI118" s="162">
        <f>BH118+BI114</f>
        <v>4</v>
      </c>
      <c r="BJ118" s="4"/>
      <c r="BK118" s="4"/>
    </row>
    <row r="119" spans="1:63" ht="15" customHeight="1" x14ac:dyDescent="0.15">
      <c r="A119" s="159"/>
      <c r="B119" s="159"/>
      <c r="C119" s="245"/>
      <c r="D119" s="432"/>
      <c r="E119" s="448"/>
      <c r="F119" s="434"/>
      <c r="G119" s="241"/>
      <c r="H119" s="435"/>
      <c r="I119" s="241"/>
      <c r="J119" s="435"/>
      <c r="K119" s="247"/>
      <c r="L119" s="436"/>
      <c r="M119" s="170" t="str">
        <f>IF(L118="発電機",SQRT(AV118^2+AV119^2),IF(L120="","",IF(OR(L118="油入自冷",L118="モ－ルド絶縁"),IF(BA118=1,SQRT(AN118^2+AN119^2),IF(BA118=3,SQRT(AN120^2+AN121^2))),SQRT(AO118^2+AO119^2))))</f>
        <v/>
      </c>
      <c r="N119" s="437"/>
      <c r="O119" s="171"/>
      <c r="P119" s="195"/>
      <c r="Q119" s="172"/>
      <c r="R119" s="173"/>
      <c r="S119" s="174" t="str">
        <f t="shared" ref="S119:S137" si="5">IF(R119="","",IF(Q119="",P119/R119,P119/(Q119*R119)))</f>
        <v/>
      </c>
      <c r="T119" s="175"/>
      <c r="U119" s="176" t="str">
        <f>IF(OR(BA120="",S119=""),"",S119*1000*T119/(SQRT(BA118)*BA120))</f>
        <v/>
      </c>
      <c r="V119" s="237"/>
      <c r="W119" s="221"/>
      <c r="X119" s="225"/>
      <c r="Y119" s="226"/>
      <c r="Z119" s="227"/>
      <c r="AA119" s="229"/>
      <c r="AB119" s="231"/>
      <c r="AC119" s="226"/>
      <c r="AD119" s="227"/>
      <c r="AE119" s="233"/>
      <c r="AF119" s="124" t="str">
        <f>IF(OR(AF118="",AG114&lt;&gt;""),"",AF118*AQ119/SQRT(AT118^2+AT119^2))</f>
        <v/>
      </c>
      <c r="AG119" s="205" t="str">
        <f>IF(AG118="","",100*AG118*AQ119/BA120)</f>
        <v/>
      </c>
      <c r="AH119" s="206"/>
      <c r="AI119" s="207" t="str">
        <f>IF(BA120=0,"",IF(AI114="",AX120/SQRT(AT118^2+AT119^2),IF(AI122="","",IF(AT118&lt;0,-AX118*AQ115/SQRT(AT118^2+AT119^2),AX118*AQ115/SQRT(AT118^2+AT119^2)))))</f>
        <v/>
      </c>
      <c r="AJ119" s="203"/>
      <c r="AK119" s="204"/>
      <c r="AL119" s="125"/>
      <c r="AM119" s="59"/>
      <c r="AN119" s="107" t="b">
        <f>IF(BA118="","",IF(AND(BA118=1,F120=50,L118="油入自冷"),VLOOKUP(L120,変１,3,FALSE),IF(AND(BA118=1,F120=50,L118="モ－ルド絶縁"),VLOOKUP(L120,変１,8,FALSE),IF(AND(BA118=1,F120=60,L118="油入自冷"),VLOOKUP(L120,変１,13,FALSE),IF(AND(BA118=1,F120=60,L118="モ－ルド絶縁"),VLOOKUP(L120,変１,18,FALSE),FALSE)))))</f>
        <v>0</v>
      </c>
      <c r="AO119" s="107">
        <f>IF(ISNA(VLOOKUP(L120,変ＵＳＥＲ,3,FALSE)),0,VLOOKUP(L120,変ＵＳＥＲ,3,FALSE)*BA121/50)</f>
        <v>0</v>
      </c>
      <c r="AP119" s="108">
        <f>IF(W118="",0,W118*1000/BA120^2/SQRT(BA118))</f>
        <v>0</v>
      </c>
      <c r="AQ119" s="107">
        <f>IF(AND(BA118=1,BA119=2),1,IF(AND(BA118=3,BA119=3),1,IF(AND(BA118=1,BA119=3),2,IF(AND(BA118=3,BA119=4)*OR(BB118=1,BB119=1,BB120=1,BB121=1),1,SQRT(3)))))</f>
        <v>1.7320508075688772</v>
      </c>
      <c r="AR119" s="109" t="str">
        <f>IF(X118="","",IF(X118="600V IV",VLOOKUP(X120,ＩＶ,3,FALSE),IF(X118="600V CV-T",VLOOKUP(X120,ＣＶＴ,3,FALSE),IF(OR(X118="600V CV-1C",X118="600V CV-2C",X118="600V CV-3C",X118="600V CV-4C"),VLOOKUP(X120,ＣＶ２３Ｃ,3,FALSE),VLOOKUP(X120,ＣＵＳＥＲ,3,FALSE)))))</f>
        <v/>
      </c>
      <c r="AS119" s="107" t="str">
        <f>IF(AD121="",AP121,AP121+(AD121/1000))</f>
        <v/>
      </c>
      <c r="AT119" s="110" t="str">
        <f>IF(AU121="",AT121,AU121)</f>
        <v/>
      </c>
      <c r="AU119" s="110" t="str">
        <f>IF(D118="","",IF(AND(D182="",D186&lt;&gt;"",AV121=AV189),AT187,IF(AND(D182="",D186="",#REF!&lt;&gt;"",AV185=#REF!),#REF!,IF(AND(D182="",D186="",#REF!="",D190&lt;&gt;"",AV189=AV193),AT191,IF(AND(D182="",D186="",#REF!="",D190="",D194&lt;&gt;"",#REF!=AV197),AT195,IF(AND(D182="",D186="",#REF!="",D190="",D194="",D198&lt;&gt;"",AV193=AV201),AT199,IF(AND(D182="",D186="",#REF!="",D190="",D194="",D198="",D202&lt;&gt;"",AV197=AV205),AT203,"")))))))</f>
        <v/>
      </c>
      <c r="AV119" s="109" t="str">
        <f>IF(L118="発電機",IF(ISNA(VLOOKUP(L120,ＡＣＧ,3,FALSE)),0,VLOOKUP(L120,ＡＣＧ,3,FALSE)*BA121/50),"")</f>
        <v/>
      </c>
      <c r="AW119" s="111" t="str">
        <f>IF(AT119="","",(AT119-AP118*(AT118^2+AT119^2))/((AT118*AP118)^2+(AP118*AT119-1)^2))</f>
        <v/>
      </c>
      <c r="AX119" s="112"/>
      <c r="AY119" s="113">
        <f>IF(N(AY121)=10^30,10^30,IF(N(AY185)=10^30,(N(AY121)*(N(AY184)^2+N(AY185)^2)+N(AY185)*(N(AY120)^2+N(AY121)^2))/((N(AY120)+N(AY184))^2+(N(AY121)+N(AY185))^2),(N(AY121)*(N(AY182)^2+N(AY183)^2)+N(AY183)*(N(AY120)^2+N(AY121)^2))/((N(AY120)+N(AY182))^2+(N(AY121)+N(AY183))^2)))</f>
        <v>1E+30</v>
      </c>
      <c r="AZ119" s="52"/>
      <c r="BA119" s="114">
        <f>IF(AND(H118="",SUM(S118:S121)&lt;&gt;0),BA55,H118)</f>
        <v>0</v>
      </c>
      <c r="BB119" s="115">
        <f>IF(AND(BA118=3,S119&lt;&gt;""),1,0)</f>
        <v>0</v>
      </c>
      <c r="BC119" s="52"/>
      <c r="BD119" s="52"/>
      <c r="BH119" s="162"/>
      <c r="BI119" s="162"/>
      <c r="BJ119" s="4"/>
      <c r="BK119" s="4"/>
    </row>
    <row r="120" spans="1:63" ht="15" customHeight="1" x14ac:dyDescent="0.15">
      <c r="A120" s="159"/>
      <c r="B120" s="159"/>
      <c r="C120" s="245"/>
      <c r="D120" s="432"/>
      <c r="E120" s="448"/>
      <c r="F120" s="438"/>
      <c r="G120" s="438"/>
      <c r="H120" s="438"/>
      <c r="I120" s="438"/>
      <c r="J120" s="438"/>
      <c r="K120" s="439"/>
      <c r="L120" s="440"/>
      <c r="M120" s="441"/>
      <c r="N120" s="437"/>
      <c r="O120" s="171"/>
      <c r="P120" s="196"/>
      <c r="Q120" s="177"/>
      <c r="R120" s="173"/>
      <c r="S120" s="174" t="str">
        <f t="shared" si="5"/>
        <v/>
      </c>
      <c r="T120" s="175"/>
      <c r="U120" s="178" t="str">
        <f>IF(OR(BA120="",S120=""),"",S120*1000*T120/(SQRT(BA118)*BA120))</f>
        <v/>
      </c>
      <c r="V120" s="179" t="str">
        <f>IF(AND(N(U118)=0,N(U119)=0,N(U120)=0,N(U121)=0),"",V118*(P118*R118*T118+P119*R119*T119+P120*R120*T120+P121*R121*T121)/(P118*T118+P119*T119+P120*T120+P121*T121))</f>
        <v/>
      </c>
      <c r="W120" s="209" t="str">
        <f>IF(AND(N(AP120)=0,N(AP121)=0,N(AP119)=0),"",IF(AP121&gt;=0,COS(ATAN(AP121/AP120)),-COS(ATAN(AP121/AP120))))</f>
        <v/>
      </c>
      <c r="X120" s="180"/>
      <c r="Y120" s="181"/>
      <c r="Z120" s="182"/>
      <c r="AA120" s="183"/>
      <c r="AB120" s="184"/>
      <c r="AC120" s="181"/>
      <c r="AD120" s="182"/>
      <c r="AE120" s="185"/>
      <c r="AF120" s="136" t="str">
        <f>IF(OR(AF118="",AG114&lt;&gt;""),"",BA120/SQRT(AW120^2+AW121^2))</f>
        <v/>
      </c>
      <c r="AG120" s="205" t="str">
        <f>IF(AG118="","",100*((BA120/AQ119)-AG118)/(BA120/AQ119))</f>
        <v/>
      </c>
      <c r="AH120" s="206"/>
      <c r="AI120" s="208"/>
      <c r="AJ120" s="211"/>
      <c r="AK120" s="213"/>
      <c r="AL120" s="137"/>
      <c r="AM120" s="59"/>
      <c r="AN120" s="138" t="b">
        <f>IF(BA118="","",IF(AND(BA118=3,F120=50,L118="油入自冷"),VLOOKUP(L120,変３,2,FALSE),IF(AND(BA118=3,F120=50,L118="モ－ルド絶縁"),VLOOKUP(L120,変３,7,FALSE),IF(AND(BA118=3,F120=60,L118="油入自冷"),VLOOKUP(L120,変３,12,FALSE),IF(AND(BA118=3,F120=60,L118="モ－ルド絶縁"),VLOOKUP(L120,変３,17,FALSE),FALSE)))))</f>
        <v>0</v>
      </c>
      <c r="AO120" s="109" t="str">
        <f>IF(AND(L54="",N(AY118)&lt;10^29),AY118,"")</f>
        <v/>
      </c>
      <c r="AP120" s="139" t="str">
        <f>IF(V118="","",IF(AND(N(V120)=0,N(AP119)=0),"",AQ120/((AQ120*AP119)^2+(AP119*AQ121-1)^2)))</f>
        <v/>
      </c>
      <c r="AQ120" s="107">
        <f>IF(N(V120)=0,10^30,V120)</f>
        <v>1E+30</v>
      </c>
      <c r="AR120" s="109" t="str">
        <f>IF(AB118="","",IF(AB118="600V IV",VLOOKUP(AB120,ＩＶ,2,FALSE),IF(AB118="600V CV-T",VLOOKUP(AB120,ＣＶＴ,2,FALSE),IF(OR(AB118="600V CV-1C",AB118="600V CV-2C",AB118="600V CV-3C",AB118="600V CV-4C"),VLOOKUP(AB120,ＣＶ２３Ｃ,2,FALSE),VLOOKUP(AB120,ＣＵＳＥＲ,2,FALSE)))))</f>
        <v/>
      </c>
      <c r="AS120" s="107" t="str">
        <f>IF(OR(AND(AS182="",AS183=""),AND(D118="",D182&lt;&gt;"")),AS118,(AS118*(AT182^2+AT183^2)+AT182*(AS118^2+AS119^2))/((AS118+AT182)^2+(AS119+AT183)^2))</f>
        <v/>
      </c>
      <c r="AT120" s="110" t="str">
        <f>IF(X121="",AS120,N(AS120)+(X121/1000))</f>
        <v/>
      </c>
      <c r="AU120" s="110" t="str">
        <f>IF(AU118="","",(AT120*(AU118^2+AU119^2)+AU118*(AT120^2+AT121^2))/((AT120+AU118)^2+(AT121+AU119)^2))</f>
        <v/>
      </c>
      <c r="AV120" s="110">
        <f>IF(BA120=0,1,0)</f>
        <v>1</v>
      </c>
      <c r="AW120" s="111" t="str">
        <f>IF(AO120="","",AW118+AO120)</f>
        <v/>
      </c>
      <c r="AX120" s="112" t="str">
        <f>IF(AND(AX56="",AW120&lt;&gt;""),BA120*SQRT(AW118^2+AW119^2)/SQRT(AW120^2+AW121^2),IF(BA120&lt;&gt;0,AX56,""))</f>
        <v/>
      </c>
      <c r="AY120" s="140">
        <f>IF(L120="",10^30,SQRT(BA118)*(BA120^2)*(N(AN118)+N(AN120)+N(AO118)+N(AV118))/(100000*L120*M118))</f>
        <v>1E+30</v>
      </c>
      <c r="AZ120" s="141"/>
      <c r="BA120" s="114">
        <f>IF(AND(J118="",SUM(S118:S121)&lt;&gt;0),BA56,J118)</f>
        <v>0</v>
      </c>
      <c r="BB120" s="115">
        <f>IF(AND(BA118=3,S120&lt;&gt;""),1,0)</f>
        <v>0</v>
      </c>
      <c r="BC120" s="52"/>
      <c r="BD120" s="52"/>
      <c r="BH120" s="162"/>
      <c r="BI120" s="162"/>
      <c r="BJ120" s="4"/>
      <c r="BK120" s="4"/>
    </row>
    <row r="121" spans="1:63" ht="15" customHeight="1" x14ac:dyDescent="0.15">
      <c r="A121" s="159"/>
      <c r="B121" s="159"/>
      <c r="C121" s="245"/>
      <c r="D121" s="442"/>
      <c r="E121" s="449"/>
      <c r="F121" s="444"/>
      <c r="G121" s="444"/>
      <c r="H121" s="444"/>
      <c r="I121" s="444"/>
      <c r="J121" s="444"/>
      <c r="K121" s="445"/>
      <c r="L121" s="238" t="str">
        <f>IF(M118="","",L120*1000*M118/(SQRT(BA118)*BA120))</f>
        <v/>
      </c>
      <c r="M121" s="239"/>
      <c r="N121" s="446"/>
      <c r="O121" s="186"/>
      <c r="P121" s="197"/>
      <c r="Q121" s="187"/>
      <c r="R121" s="188"/>
      <c r="S121" s="189" t="str">
        <f t="shared" si="5"/>
        <v/>
      </c>
      <c r="T121" s="190"/>
      <c r="U121" s="191" t="str">
        <f>IF(OR(BA120="",S121=""),"",S121*1000*T121/(SQRT(BA118)*BA120))</f>
        <v/>
      </c>
      <c r="V121" s="192" t="str">
        <f>IF(AND(N(U118)=0,N(U119)=0,N(U120)=0,N(U121)=0),"",IF(V118&gt;=0,SQRT(ABS(V118^2-V120^2)),-SQRT(V118^2-V120^2)))</f>
        <v/>
      </c>
      <c r="W121" s="210"/>
      <c r="X121" s="215" t="str">
        <f>IF(Y120="","",AQ118*Z120*AR118*((1+0.00393*(F121-20))/1.2751)/Y120)</f>
        <v/>
      </c>
      <c r="Y121" s="216"/>
      <c r="Z121" s="217" t="str">
        <f>IF(Y120="","",(BA121/50)*AQ118*Z120*AR119/Y120)</f>
        <v/>
      </c>
      <c r="AA121" s="218"/>
      <c r="AB121" s="219" t="str">
        <f>IF(AC120="","",AQ118*AD120*AR120*((1+0.00393*(F121-20))/1.2751)/AC120)</f>
        <v/>
      </c>
      <c r="AC121" s="216"/>
      <c r="AD121" s="217" t="str">
        <f>IF(AC120="","",(BA121/50)*AQ118*AD120*AR121/AC120)</f>
        <v/>
      </c>
      <c r="AE121" s="242"/>
      <c r="AF121" s="150" t="str">
        <f>IF(AND(AX118&lt;&gt;"",D118=""),AX118,"")</f>
        <v/>
      </c>
      <c r="AG121" s="243" t="str">
        <f>IF(AP120="","",AP120)</f>
        <v/>
      </c>
      <c r="AH121" s="244"/>
      <c r="AI121" s="151" t="str">
        <f>IF(AP121="","",AP121)</f>
        <v/>
      </c>
      <c r="AJ121" s="212"/>
      <c r="AK121" s="214"/>
      <c r="AL121" s="152"/>
      <c r="AM121" s="59"/>
      <c r="AN121" s="153" t="b">
        <f>IF(BA118="","",IF(AND(BA118=3,F120=50,L118="油入自冷"),VLOOKUP(L120,変３,3,FALSE),IF(AND(BA118=3,F120=50,L118="モ－ルド絶縁"),VLOOKUP(L120,変３,8,FALSE),IF(AND(BA118=3,F120=60,L118="油入自冷"),VLOOKUP(L120,変３,13,FALSE),IF(AND(BA118=3,F120=60,L118="モ－ルド絶縁"),VLOOKUP(L120,変３,18,FALSE),FALSE)))))</f>
        <v>0</v>
      </c>
      <c r="AO121" s="153" t="str">
        <f>IF(AND(L54="",N(AY119)&lt;10^29),AY119,"")</f>
        <v/>
      </c>
      <c r="AP121" s="154" t="str">
        <f>IF(V118="","",IF(AND(N(V121)=0,N(AP119)=0),0,(AQ121-AP119*(AQ120^2+AQ121^2))/((AQ120*AP119)^2+(AP119*AQ121-1)^2)))</f>
        <v/>
      </c>
      <c r="AQ121" s="155">
        <f>IF(N(V121)=0,10^30,V121)</f>
        <v>1E+30</v>
      </c>
      <c r="AR121" s="153" t="str">
        <f>IF(AB118="","",IF(AB118="600V IV",VLOOKUP(AB120,ＩＶ,3,FALSE),IF(AB118="600V CV-T",VLOOKUP(AB120,ＣＶＴ,3,FALSE),IF(OR(AB118="600V CV-1C",AB118="600V CV-2C",AB118="600V CV-3C",AB118="600V CV-4C"),VLOOKUP(AB120,ＣＶ２３Ｃ,3,FALSE),VLOOKUP(AB120,ＣＵＳＥＲ,3,FALSE)))))</f>
        <v/>
      </c>
      <c r="AS121" s="155" t="str">
        <f>IF(OR(AND(AS182="",AS183=""),AND(D118="",D182&lt;&gt;"")),AS119,(AS119*(AT182^2+AT183^2)+AT183*(AS118^2+AS119^2))/((AS118+AT182)^2+(AS119+AT183)^2))</f>
        <v/>
      </c>
      <c r="AT121" s="156" t="str">
        <f>IF(Z121="",AS121,N(AS121)+(Z121/1000))</f>
        <v/>
      </c>
      <c r="AU121" s="156" t="str">
        <f>IF(AU119="","",(AT121*(AU118^2+AU119^2)+AU119*(AT120^2+AT121^2))/((AT120+AU118)^2+(AT121+AU119)^2))</f>
        <v/>
      </c>
      <c r="AV121" s="156">
        <f>AV57+AV120</f>
        <v>8</v>
      </c>
      <c r="AW121" s="155" t="str">
        <f>IF(AO121="","",AW119+AO121)</f>
        <v/>
      </c>
      <c r="AX121" s="157"/>
      <c r="AY121" s="140">
        <f>IF(L120="",10^30,SQRT(BA118)*(BA120^2)*(N(AN119)+N(AN121)+N(AO119)+N(AV119))/(100000*L120*M118))</f>
        <v>1E+30</v>
      </c>
      <c r="AZ121" s="141"/>
      <c r="BA121" s="114">
        <f>IF(AND(F120="",SUM(S118:S121)&lt;&gt;0),BA57,F120)</f>
        <v>0</v>
      </c>
      <c r="BB121" s="115">
        <f>IF(AND(BA118=3,S121&lt;&gt;""),1,0)</f>
        <v>0</v>
      </c>
      <c r="BC121" s="52"/>
      <c r="BD121" s="52"/>
      <c r="BH121" s="162"/>
      <c r="BI121" s="162"/>
      <c r="BJ121" s="4"/>
      <c r="BK121" s="4"/>
    </row>
    <row r="122" spans="1:63" ht="15" customHeight="1" x14ac:dyDescent="0.15">
      <c r="A122" s="159"/>
      <c r="B122" s="159"/>
      <c r="C122" s="245" t="str">
        <f>IF(BH122=1,"●","・")</f>
        <v>・</v>
      </c>
      <c r="D122" s="425"/>
      <c r="E122" s="447"/>
      <c r="F122" s="427"/>
      <c r="G122" s="240" t="str">
        <f>IF(F122="","","φ")</f>
        <v/>
      </c>
      <c r="H122" s="428"/>
      <c r="I122" s="240" t="str">
        <f>IF(H122="","","W")</f>
        <v/>
      </c>
      <c r="J122" s="428"/>
      <c r="K122" s="246" t="str">
        <f>IF(J122="","","V")</f>
        <v/>
      </c>
      <c r="L122" s="429"/>
      <c r="M122" s="430"/>
      <c r="N122" s="431"/>
      <c r="O122" s="164"/>
      <c r="P122" s="194"/>
      <c r="Q122" s="165"/>
      <c r="R122" s="166"/>
      <c r="S122" s="167" t="str">
        <f>IF(R122="","",IF(Q122="",P122/R122,P122/(Q122*R122)))</f>
        <v/>
      </c>
      <c r="T122" s="168"/>
      <c r="U122" s="169" t="str">
        <f>IF(OR(BA124="",S122=""),"",S122*1000*T122/(SQRT(BA122)*BA124))</f>
        <v/>
      </c>
      <c r="V122" s="236" t="str">
        <f>IF(AND(N(U122)=0,N(U123)=0,N(U124)=0,N(U125)=0),"",BA124/(SUM(U122:U125)))</f>
        <v/>
      </c>
      <c r="W122" s="220"/>
      <c r="X122" s="222"/>
      <c r="Y122" s="223"/>
      <c r="Z122" s="224"/>
      <c r="AA122" s="228"/>
      <c r="AB122" s="230"/>
      <c r="AC122" s="223"/>
      <c r="AD122" s="224"/>
      <c r="AE122" s="232"/>
      <c r="AF122" s="104" t="str">
        <f>IF(OR(AND(AF118="",N(BA120)=0,BA124&lt;&gt;0),D122&lt;&gt;""),AX124/AQ123,"")</f>
        <v/>
      </c>
      <c r="AG122" s="234" t="str">
        <f>IF(BA124=0,"",IF(AD124="",AX122,IF(AND(D122&lt;&gt;"",AU122=""),AX124*SQRT(AP124^2+AP125^2)/SQRT(AS122^2+AS123^2)/AQ123,AX122*SQRT(AP124^2+AP125^2)/SQRT(AS122^2+AS123^2))))</f>
        <v/>
      </c>
      <c r="AH122" s="235"/>
      <c r="AI122" s="105" t="str">
        <f>IF(AG122="","",IF(N(U122)&lt;0,-AX122*AQ123/SQRT(AS122^2+AS123^2),AX122*AQ123/SQRT(AS122^2+AS123^2)))</f>
        <v/>
      </c>
      <c r="AJ122" s="201"/>
      <c r="AK122" s="202"/>
      <c r="AL122" s="106"/>
      <c r="AM122" s="59"/>
      <c r="AN122" s="107" t="b">
        <f>IF(BA122="","",IF(AND(BA122=1,F124=50,L122="油入自冷"),VLOOKUP(L124,変１,2,FALSE),IF(AND(BA122=1,F124=50,L122="モ－ルド絶縁"),VLOOKUP(L124,変１,7,FALSE),IF(AND(BA122=1,F124=60,L122="油入自冷"),VLOOKUP(L124,変１,12,FALSE),IF(AND(BA122=1,F124=60,L122="モ－ルド絶縁"),VLOOKUP(L124,変１,17,FALSE),FALSE)))))</f>
        <v>0</v>
      </c>
      <c r="AO122" s="107">
        <f>IF(ISNA(VLOOKUP(L124,変ＵＳＥＲ,2,FALSE)),0,VLOOKUP(L124,変ＵＳＥＲ,2,FALSE))</f>
        <v>0</v>
      </c>
      <c r="AP122" s="108">
        <f>IF(N122="",0,N122*1000/BA124^2/SQRT(BA122))</f>
        <v>0</v>
      </c>
      <c r="AQ122" s="107" t="b">
        <f>IF(BA122=1,2,IF(BA122=3,SQRT(3),FALSE))</f>
        <v>0</v>
      </c>
      <c r="AR122" s="109" t="str">
        <f>IF(X122="","",IF(X122="600V IV",VLOOKUP(X124,ＩＶ,2,FALSE),IF(X122="600V CV-T",VLOOKUP(X124,ＣＶＴ,2,FALSE),IF(OR(X122="600V CV-1C",X122="600V CV-2C",X122="600V CV-3C",X122="600V CV-4C"),VLOOKUP(X124,ＣＶ２３Ｃ,2,FALSE),VLOOKUP(X124,ＣＵＳＥＲ,2,FALSE)))))</f>
        <v/>
      </c>
      <c r="AS122" s="107" t="str">
        <f>IF(AB125="",AP124,AP124+(AB125/1000))</f>
        <v/>
      </c>
      <c r="AT122" s="110" t="str">
        <f>IF(AU124="",AT124,AU124)</f>
        <v/>
      </c>
      <c r="AU122" s="110" t="str">
        <f>IF(D122="","",IF(AND(D186="",#REF!&lt;&gt;"",AV125=#REF!),#REF!,IF(AND(D186="",#REF!="",D190&lt;&gt;"",AV189=AV193),AT190,IF(AND(D186="",#REF!="",D190="",D194&lt;&gt;"",#REF!=AV197),AT194,IF(AND(D186="",#REF!="",D190="",D194="",D198&lt;&gt;"",AV193=AV201),AT198,IF(AND(D186="",#REF!="",D190="",D194="",D198="",D202&lt;&gt;"",AV197=AV205),AT202,IF(AND(D186="",#REF!="",D190="",D194="",D198="",D202="",D206&lt;&gt;"",AV201=AV209),AT206,"")))))))</f>
        <v/>
      </c>
      <c r="AV122" s="110" t="str">
        <f>IF(L122="発電機",IF(ISNA(VLOOKUP(L124,ＡＣＧ,2,FALSE)),0,VLOOKUP(L124,ＡＣＧ,2,FALSE)),"")</f>
        <v/>
      </c>
      <c r="AW122" s="111" t="str">
        <f>IF(AT122="","",AT122/((AT122*AP122)^2+(AT123*AP122-1)^2))</f>
        <v/>
      </c>
      <c r="AX122" s="112" t="str">
        <f>IF(BA124=0,"",IF(OR(AX118="",AF122&lt;&gt;""),AF122*SQRT(AS124^2+AS125^2)/SQRT(AT124^2+AT125^2),AX118*SQRT(AS124^2+AS125^2)/SQRT(AT124^2+AT125^2)))</f>
        <v/>
      </c>
      <c r="AY122" s="113">
        <f>IF(N(AY124)=10^30,10^30,IF(N(AY188)=10^30,(N(AY124)*(N(AY188)^2+N(AY189)^2)+N(AY188)*(N(AY124)^2+N(AY125)^2))/((N(AY124)+N(AY188))^2+(N(AY125)+N(AY189))^2),(N(AY124)*(N(AY186)^2+N(AY187)^2)+N(AY186)*(N(AY124)^2+N(AY125)^2))/((N(AY124)+N(AY186))^2+(N(AY125)+N(AY187))^2)))</f>
        <v>1E+30</v>
      </c>
      <c r="AZ122" s="52"/>
      <c r="BA122" s="114">
        <f>IF(AND(F122="",SUM(S122:S125)&lt;&gt;0),BA118,F122)</f>
        <v>0</v>
      </c>
      <c r="BB122" s="115">
        <f>IF(AND(BA122=3,S122&lt;&gt;""),1,0)</f>
        <v>0</v>
      </c>
      <c r="BC122" s="52"/>
      <c r="BD122" s="52"/>
      <c r="BH122" s="162">
        <f>IF(OR(E122="",F125="",AND(OR(P122="",Q122="",R122="",T122=""),OR(P123="",Q123="",R123="",T123=""),OR(P124="",Q124="",R124="",T124=""),OR(P125="",Q125="",R125="",T125="")),AND(OR(X122="",X124="",Y124="",Z124=""),OR(AB122="",AB124="",AC124="",AD124=""))),0,1)</f>
        <v>0</v>
      </c>
      <c r="BI122" s="162">
        <f>BH122+BI118</f>
        <v>4</v>
      </c>
      <c r="BJ122" s="4"/>
      <c r="BK122" s="4"/>
    </row>
    <row r="123" spans="1:63" ht="15" customHeight="1" x14ac:dyDescent="0.15">
      <c r="A123" s="159"/>
      <c r="B123" s="159"/>
      <c r="C123" s="245"/>
      <c r="D123" s="432"/>
      <c r="E123" s="448"/>
      <c r="F123" s="434"/>
      <c r="G123" s="241"/>
      <c r="H123" s="435"/>
      <c r="I123" s="241"/>
      <c r="J123" s="435"/>
      <c r="K123" s="247"/>
      <c r="L123" s="436"/>
      <c r="M123" s="170" t="str">
        <f>IF(L122="発電機",SQRT(AV122^2+AV123^2),IF(L124="","",IF(OR(L122="油入自冷",L122="モ－ルド絶縁"),IF(BA122=1,SQRT(AN122^2+AN123^2),IF(BA122=3,SQRT(AN124^2+AN125^2))),SQRT(AO122^2+AO123^2))))</f>
        <v/>
      </c>
      <c r="N123" s="437"/>
      <c r="O123" s="171"/>
      <c r="P123" s="195"/>
      <c r="Q123" s="172"/>
      <c r="R123" s="173"/>
      <c r="S123" s="174" t="str">
        <f t="shared" si="5"/>
        <v/>
      </c>
      <c r="T123" s="175"/>
      <c r="U123" s="176" t="str">
        <f>IF(OR(BA124="",S123=""),"",S123*1000*T123/(SQRT(BA122)*BA124))</f>
        <v/>
      </c>
      <c r="V123" s="237"/>
      <c r="W123" s="221"/>
      <c r="X123" s="225"/>
      <c r="Y123" s="226"/>
      <c r="Z123" s="227"/>
      <c r="AA123" s="229"/>
      <c r="AB123" s="231"/>
      <c r="AC123" s="226"/>
      <c r="AD123" s="227"/>
      <c r="AE123" s="233"/>
      <c r="AF123" s="124" t="str">
        <f>IF(OR(AF122="",AG118&lt;&gt;""),"",AF122*AQ123/SQRT(AT122^2+AT123^2))</f>
        <v/>
      </c>
      <c r="AG123" s="205" t="str">
        <f>IF(AG122="","",100*AG122*AQ123/BA124)</f>
        <v/>
      </c>
      <c r="AH123" s="206"/>
      <c r="AI123" s="207" t="str">
        <f>IF(BA124=0,"",IF(AI118="",AX124/SQRT(AT122^2+AT123^2),IF(AI126="","",IF(AT122&lt;0,-AX122*AQ119/SQRT(AT122^2+AT123^2),AX122*AQ119/SQRT(AT122^2+AT123^2)))))</f>
        <v/>
      </c>
      <c r="AJ123" s="203"/>
      <c r="AK123" s="204"/>
      <c r="AL123" s="125"/>
      <c r="AM123" s="59"/>
      <c r="AN123" s="107" t="b">
        <f>IF(BA122="","",IF(AND(BA122=1,F124=50,L122="油入自冷"),VLOOKUP(L124,変１,3,FALSE),IF(AND(BA122=1,F124=50,L122="モ－ルド絶縁"),VLOOKUP(L124,変１,8,FALSE),IF(AND(BA122=1,F124=60,L122="油入自冷"),VLOOKUP(L124,変１,13,FALSE),IF(AND(BA122=1,F124=60,L122="モ－ルド絶縁"),VLOOKUP(L124,変１,18,FALSE),FALSE)))))</f>
        <v>0</v>
      </c>
      <c r="AO123" s="107">
        <f>IF(ISNA(VLOOKUP(L124,変ＵＳＥＲ,3,FALSE)),0,VLOOKUP(L124,変ＵＳＥＲ,3,FALSE)*BA125/50)</f>
        <v>0</v>
      </c>
      <c r="AP123" s="108">
        <f>IF(W122="",0,W122*1000/BA124^2/SQRT(BA122))</f>
        <v>0</v>
      </c>
      <c r="AQ123" s="107">
        <f>IF(AND(BA122=1,BA123=2),1,IF(AND(BA122=3,BA123=3),1,IF(AND(BA122=1,BA123=3),2,IF(AND(BA122=3,BA123=4)*OR(BB122=1,BB123=1,BB124=1,BB125=1),1,SQRT(3)))))</f>
        <v>1.7320508075688772</v>
      </c>
      <c r="AR123" s="109" t="str">
        <f>IF(X122="","",IF(X122="600V IV",VLOOKUP(X124,ＩＶ,3,FALSE),IF(X122="600V CV-T",VLOOKUP(X124,ＣＶＴ,3,FALSE),IF(OR(X122="600V CV-1C",X122="600V CV-2C",X122="600V CV-3C",X122="600V CV-4C"),VLOOKUP(X124,ＣＶ２３Ｃ,3,FALSE),VLOOKUP(X124,ＣＵＳＥＲ,3,FALSE)))))</f>
        <v/>
      </c>
      <c r="AS123" s="107" t="str">
        <f>IF(AD125="",AP125,AP125+(AD125/1000))</f>
        <v/>
      </c>
      <c r="AT123" s="110" t="str">
        <f>IF(AU125="",AT125,AU125)</f>
        <v/>
      </c>
      <c r="AU123" s="110" t="str">
        <f>IF(D122="","",IF(AND(D186="",#REF!&lt;&gt;"",AV125=#REF!),#REF!,IF(AND(D186="",#REF!="",D190&lt;&gt;"",AV189=AV193),AT191,IF(AND(D186="",#REF!="",D190="",D194&lt;&gt;"",#REF!=AV197),AT195,IF(AND(D186="",#REF!="",D190="",D194="",D198&lt;&gt;"",AV193=AV201),AT199,IF(AND(D186="",#REF!="",D190="",D194="",D198="",D202&lt;&gt;"",AV197=AV205),AT203,IF(AND(D186="",#REF!="",D190="",D194="",D198="",D202="",D206&lt;&gt;"",AV201=AV209),AT207,"")))))))</f>
        <v/>
      </c>
      <c r="AV123" s="109" t="str">
        <f>IF(L122="発電機",IF(ISNA(VLOOKUP(L124,ＡＣＧ,3,FALSE)),0,VLOOKUP(L124,ＡＣＧ,3,FALSE)*BA125/50),"")</f>
        <v/>
      </c>
      <c r="AW123" s="111" t="str">
        <f>IF(AT123="","",(AT123-AP122*(AT122^2+AT123^2))/((AT122*AP122)^2+(AP122*AT123-1)^2))</f>
        <v/>
      </c>
      <c r="AX123" s="112"/>
      <c r="AY123" s="113">
        <f>IF(N(AY125)=10^30,10^30,IF(N(AY189)=10^30,(N(AY125)*(N(AY188)^2+N(AY189)^2)+N(AY189)*(N(AY124)^2+N(AY125)^2))/((N(AY124)+N(AY188))^2+(N(AY125)+N(AY189))^2),(N(AY125)*(N(AY186)^2+N(AY187)^2)+N(AY187)*(N(AY124)^2+N(AY125)^2))/((N(AY124)+N(AY186))^2+(N(AY125)+N(AY187))^2)))</f>
        <v>1E+30</v>
      </c>
      <c r="AZ123" s="52"/>
      <c r="BA123" s="114">
        <f>IF(AND(H122="",SUM(S122:S125)&lt;&gt;0),BA119,H122)</f>
        <v>0</v>
      </c>
      <c r="BB123" s="115">
        <f>IF(AND(BA122=3,S123&lt;&gt;""),1,0)</f>
        <v>0</v>
      </c>
      <c r="BC123" s="52"/>
      <c r="BD123" s="52"/>
      <c r="BH123" s="162"/>
      <c r="BI123" s="162"/>
      <c r="BJ123" s="4"/>
      <c r="BK123" s="4"/>
    </row>
    <row r="124" spans="1:63" ht="15" customHeight="1" x14ac:dyDescent="0.15">
      <c r="A124" s="159"/>
      <c r="B124" s="159"/>
      <c r="C124" s="245"/>
      <c r="D124" s="432"/>
      <c r="E124" s="448"/>
      <c r="F124" s="438"/>
      <c r="G124" s="438"/>
      <c r="H124" s="438"/>
      <c r="I124" s="438"/>
      <c r="J124" s="438"/>
      <c r="K124" s="439"/>
      <c r="L124" s="440"/>
      <c r="M124" s="441"/>
      <c r="N124" s="437"/>
      <c r="O124" s="171"/>
      <c r="P124" s="196"/>
      <c r="Q124" s="177"/>
      <c r="R124" s="173"/>
      <c r="S124" s="174" t="str">
        <f t="shared" si="5"/>
        <v/>
      </c>
      <c r="T124" s="175"/>
      <c r="U124" s="178" t="str">
        <f>IF(OR(BA124="",S124=""),"",S124*1000*T124/(SQRT(BA122)*BA124))</f>
        <v/>
      </c>
      <c r="V124" s="179" t="str">
        <f>IF(AND(N(U122)=0,N(U123)=0,N(U124)=0,N(U125)=0),"",V122*(P122*R122*T122+P123*R123*T123+P124*R124*T124+P125*R125*T125)/(P122*T122+P123*T123+P124*T124+P125*T125))</f>
        <v/>
      </c>
      <c r="W124" s="209" t="str">
        <f>IF(AND(N(AP124)=0,N(AP125)=0,N(AP123)=0),"",IF(AP125&gt;=0,COS(ATAN(AP125/AP124)),-COS(ATAN(AP125/AP124))))</f>
        <v/>
      </c>
      <c r="X124" s="180"/>
      <c r="Y124" s="181"/>
      <c r="Z124" s="182"/>
      <c r="AA124" s="183"/>
      <c r="AB124" s="184"/>
      <c r="AC124" s="181"/>
      <c r="AD124" s="182"/>
      <c r="AE124" s="185"/>
      <c r="AF124" s="136" t="str">
        <f>IF(OR(AF122="",AG118&lt;&gt;""),"",BA124/SQRT(AW124^2+AW125^2))</f>
        <v/>
      </c>
      <c r="AG124" s="205" t="str">
        <f>IF(AG122="","",100*((BA124/AQ123)-AG122)/(BA124/AQ123))</f>
        <v/>
      </c>
      <c r="AH124" s="206"/>
      <c r="AI124" s="208"/>
      <c r="AJ124" s="211"/>
      <c r="AK124" s="213"/>
      <c r="AL124" s="137"/>
      <c r="AM124" s="59"/>
      <c r="AN124" s="138" t="b">
        <f>IF(BA122="","",IF(AND(BA122=3,F124=50,L122="油入自冷"),VLOOKUP(L124,変３,2,FALSE),IF(AND(BA122=3,F124=50,L122="モ－ルド絶縁"),VLOOKUP(L124,変３,7,FALSE),IF(AND(BA122=3,F124=60,L122="油入自冷"),VLOOKUP(L124,変３,12,FALSE),IF(AND(BA122=3,F124=60,L122="モ－ルド絶縁"),VLOOKUP(L124,変３,17,FALSE),FALSE)))))</f>
        <v>0</v>
      </c>
      <c r="AO124" s="109" t="str">
        <f>IF(AND(L118="",N(AY122)&lt;10^29),AY122,"")</f>
        <v/>
      </c>
      <c r="AP124" s="139" t="str">
        <f>IF(V122="","",IF(AND(N(V124)=0,N(AP123)=0),"",AQ124/((AQ124*AP123)^2+(AP123*AQ125-1)^2)))</f>
        <v/>
      </c>
      <c r="AQ124" s="107">
        <f>IF(N(V124)=0,10^30,V124)</f>
        <v>1E+30</v>
      </c>
      <c r="AR124" s="109" t="str">
        <f>IF(AB122="","",IF(AB122="600V IV",VLOOKUP(AB124,ＩＶ,2,FALSE),IF(AB122="600V CV-T",VLOOKUP(AB124,ＣＶＴ,2,FALSE),IF(OR(AB122="600V CV-1C",AB122="600V CV-2C",AB122="600V CV-3C",AB122="600V CV-4C"),VLOOKUP(AB124,ＣＶ２３Ｃ,2,FALSE),VLOOKUP(AB124,ＣＵＳＥＲ,2,FALSE)))))</f>
        <v/>
      </c>
      <c r="AS124" s="107" t="str">
        <f>IF(OR(AND(AS186="",AS187=""),AND(D122="",D186&lt;&gt;"")),AS122,(AS122*(AT186^2+AT187^2)+AT186*(AS122^2+AS123^2))/((AS122+AT186)^2+(AS123+AT187)^2))</f>
        <v/>
      </c>
      <c r="AT124" s="110" t="str">
        <f>IF(X125="",AS124,N(AS124)+(X125/1000))</f>
        <v/>
      </c>
      <c r="AU124" s="110" t="str">
        <f>IF(AU122="","",(AT124*(AU122^2+AU123^2)+AU122*(AT124^2+AT125^2))/((AT124+AU122)^2+(AT125+AU123)^2))</f>
        <v/>
      </c>
      <c r="AV124" s="110">
        <f>IF(BA124=0,1,0)</f>
        <v>1</v>
      </c>
      <c r="AW124" s="111" t="str">
        <f>IF(AO124="","",AW122+AO124)</f>
        <v/>
      </c>
      <c r="AX124" s="112" t="str">
        <f>IF(AND(AX120="",AW124&lt;&gt;""),BA124*SQRT(AW122^2+AW123^2)/SQRT(AW124^2+AW125^2),IF(BA124&lt;&gt;0,AX120,""))</f>
        <v/>
      </c>
      <c r="AY124" s="140">
        <f>IF(L124="",10^30,SQRT(BA122)*(BA124^2)*(N(AN122)+N(AN124)+N(AO122)+N(AV122))/(100000*L124*M122))</f>
        <v>1E+30</v>
      </c>
      <c r="AZ124" s="141"/>
      <c r="BA124" s="114">
        <f>IF(AND(J122="",SUM(S122:S125)&lt;&gt;0),BA120,J122)</f>
        <v>0</v>
      </c>
      <c r="BB124" s="115">
        <f>IF(AND(BA122=3,S124&lt;&gt;""),1,0)</f>
        <v>0</v>
      </c>
      <c r="BC124" s="52"/>
      <c r="BD124" s="52"/>
      <c r="BH124" s="162"/>
      <c r="BI124" s="162"/>
      <c r="BJ124" s="4"/>
      <c r="BK124" s="4"/>
    </row>
    <row r="125" spans="1:63" ht="15" customHeight="1" x14ac:dyDescent="0.15">
      <c r="A125" s="159"/>
      <c r="B125" s="159"/>
      <c r="C125" s="245"/>
      <c r="D125" s="442"/>
      <c r="E125" s="449"/>
      <c r="F125" s="444"/>
      <c r="G125" s="444"/>
      <c r="H125" s="444"/>
      <c r="I125" s="444"/>
      <c r="J125" s="444"/>
      <c r="K125" s="445"/>
      <c r="L125" s="238" t="str">
        <f>IF(M122="","",L124*1000*M122/(SQRT(BA122)*BA124))</f>
        <v/>
      </c>
      <c r="M125" s="239"/>
      <c r="N125" s="446"/>
      <c r="O125" s="186"/>
      <c r="P125" s="197"/>
      <c r="Q125" s="187"/>
      <c r="R125" s="188"/>
      <c r="S125" s="189" t="str">
        <f t="shared" si="5"/>
        <v/>
      </c>
      <c r="T125" s="190"/>
      <c r="U125" s="191" t="str">
        <f>IF(OR(BA124="",S125=""),"",S125*1000*T125/(SQRT(BA122)*BA124))</f>
        <v/>
      </c>
      <c r="V125" s="192" t="str">
        <f>IF(AND(N(U122)=0,N(U123)=0,N(U124)=0,N(U125)=0),"",IF(V122&gt;=0,SQRT(ABS(V122^2-V124^2)),-SQRT(V122^2-V124^2)))</f>
        <v/>
      </c>
      <c r="W125" s="210"/>
      <c r="X125" s="215" t="str">
        <f>IF(Y124="","",AQ122*Z124*AR122*((1+0.00393*(F125-20))/1.2751)/Y124)</f>
        <v/>
      </c>
      <c r="Y125" s="216"/>
      <c r="Z125" s="217" t="str">
        <f>IF(Y124="","",(BA125/50)*AQ122*Z124*AR123/Y124)</f>
        <v/>
      </c>
      <c r="AA125" s="218"/>
      <c r="AB125" s="219" t="str">
        <f>IF(AC124="","",AQ122*AD124*AR124*((1+0.00393*(F125-20))/1.2751)/AC124)</f>
        <v/>
      </c>
      <c r="AC125" s="216"/>
      <c r="AD125" s="217" t="str">
        <f>IF(AC124="","",(BA125/50)*AQ122*AD124*AR125/AC124)</f>
        <v/>
      </c>
      <c r="AE125" s="242"/>
      <c r="AF125" s="150" t="str">
        <f>IF(AND(AX122&lt;&gt;"",D122=""),AX122,"")</f>
        <v/>
      </c>
      <c r="AG125" s="243" t="str">
        <f>IF(AP124="","",AP124)</f>
        <v/>
      </c>
      <c r="AH125" s="244"/>
      <c r="AI125" s="151" t="str">
        <f>IF(AP125="","",AP125)</f>
        <v/>
      </c>
      <c r="AJ125" s="212"/>
      <c r="AK125" s="214"/>
      <c r="AL125" s="152"/>
      <c r="AM125" s="59"/>
      <c r="AN125" s="153" t="b">
        <f>IF(BA122="","",IF(AND(BA122=3,F124=50,L122="油入自冷"),VLOOKUP(L124,変３,3,FALSE),IF(AND(BA122=3,F124=50,L122="モ－ルド絶縁"),VLOOKUP(L124,変３,8,FALSE),IF(AND(BA122=3,F124=60,L122="油入自冷"),VLOOKUP(L124,変３,13,FALSE),IF(AND(BA122=3,F124=60,L122="モ－ルド絶縁"),VLOOKUP(L124,変３,18,FALSE),FALSE)))))</f>
        <v>0</v>
      </c>
      <c r="AO125" s="153" t="str">
        <f>IF(AND(L118="",N(AY123)&lt;10^29),AY123,"")</f>
        <v/>
      </c>
      <c r="AP125" s="154" t="str">
        <f>IF(V122="","",IF(AND(N(V125)=0,N(AP123)=0),0,(AQ125-AP123*(AQ124^2+AQ125^2))/((AQ124*AP123)^2+(AP123*AQ125-1)^2)))</f>
        <v/>
      </c>
      <c r="AQ125" s="155">
        <f>IF(N(V125)=0,10^30,V125)</f>
        <v>1E+30</v>
      </c>
      <c r="AR125" s="153" t="str">
        <f>IF(AB122="","",IF(AB122="600V IV",VLOOKUP(AB124,ＩＶ,3,FALSE),IF(AB122="600V CV-T",VLOOKUP(AB124,ＣＶＴ,3,FALSE),IF(OR(AB122="600V CV-1C",AB122="600V CV-2C",AB122="600V CV-3C",AB122="600V CV-4C"),VLOOKUP(AB124,ＣＶ２３Ｃ,3,FALSE),VLOOKUP(AB124,ＣＵＳＥＲ,3,FALSE)))))</f>
        <v/>
      </c>
      <c r="AS125" s="155" t="str">
        <f>IF(OR(AND(AS186="",AS187=""),AND(D122="",D186&lt;&gt;"")),AS123,(AS123*(AT186^2+AT187^2)+AT187*(AS122^2+AS123^2))/((AS122+AT186)^2+(AS123+AT187)^2))</f>
        <v/>
      </c>
      <c r="AT125" s="156" t="str">
        <f>IF(Z125="",AS125,N(AS125)+(Z125/1000))</f>
        <v/>
      </c>
      <c r="AU125" s="156" t="str">
        <f>IF(AU123="","",(AT125*(AU122^2+AU123^2)+AU123*(AT124^2+AT125^2))/((AT124+AU122)^2+(AT125+AU123)^2))</f>
        <v/>
      </c>
      <c r="AV125" s="156">
        <f>AV121+AV124</f>
        <v>9</v>
      </c>
      <c r="AW125" s="155" t="str">
        <f>IF(AO125="","",AW123+AO125)</f>
        <v/>
      </c>
      <c r="AX125" s="157"/>
      <c r="AY125" s="140">
        <f>IF(L124="",10^30,SQRT(BA122)*(BA124^2)*(N(AN123)+N(AN125)+N(AO123)+N(AV123))/(100000*L124*M122))</f>
        <v>1E+30</v>
      </c>
      <c r="AZ125" s="141"/>
      <c r="BA125" s="114">
        <f>IF(AND(F124="",SUM(S122:S125)&lt;&gt;0),BA121,F124)</f>
        <v>0</v>
      </c>
      <c r="BB125" s="115">
        <f>IF(AND(BA122=3,S125&lt;&gt;""),1,0)</f>
        <v>0</v>
      </c>
      <c r="BC125" s="52"/>
      <c r="BD125" s="52"/>
      <c r="BH125" s="162"/>
      <c r="BI125" s="162"/>
      <c r="BJ125" s="4"/>
      <c r="BK125" s="4"/>
    </row>
    <row r="126" spans="1:63" ht="15" customHeight="1" x14ac:dyDescent="0.15">
      <c r="A126" s="159"/>
      <c r="B126" s="159"/>
      <c r="C126" s="245" t="str">
        <f>IF(BH126=1,"●","・")</f>
        <v>・</v>
      </c>
      <c r="D126" s="425"/>
      <c r="E126" s="447"/>
      <c r="F126" s="427"/>
      <c r="G126" s="240" t="str">
        <f>IF(F126="","","φ")</f>
        <v/>
      </c>
      <c r="H126" s="428"/>
      <c r="I126" s="240" t="str">
        <f>IF(H126="","","W")</f>
        <v/>
      </c>
      <c r="J126" s="428"/>
      <c r="K126" s="246" t="str">
        <f>IF(J126="","","V")</f>
        <v/>
      </c>
      <c r="L126" s="429"/>
      <c r="M126" s="430"/>
      <c r="N126" s="431"/>
      <c r="O126" s="164"/>
      <c r="P126" s="194"/>
      <c r="Q126" s="165"/>
      <c r="R126" s="166"/>
      <c r="S126" s="167" t="str">
        <f>IF(R126="","",IF(Q126="",P126/R126,P126/(Q126*R126)))</f>
        <v/>
      </c>
      <c r="T126" s="168"/>
      <c r="U126" s="169" t="str">
        <f>IF(OR(BA128="",S126=""),"",S126*1000*T126/(SQRT(BA126)*BA128))</f>
        <v/>
      </c>
      <c r="V126" s="236" t="str">
        <f>IF(AND(N(U126)=0,N(U127)=0,N(U128)=0,N(U129)=0),"",BA128/(SUM(U126:U129)))</f>
        <v/>
      </c>
      <c r="W126" s="220"/>
      <c r="X126" s="222"/>
      <c r="Y126" s="223"/>
      <c r="Z126" s="224"/>
      <c r="AA126" s="228"/>
      <c r="AB126" s="230"/>
      <c r="AC126" s="223"/>
      <c r="AD126" s="224"/>
      <c r="AE126" s="232"/>
      <c r="AF126" s="104" t="str">
        <f>IF(OR(AND(AF122="",N(BA124)=0,BA128&lt;&gt;0),D126&lt;&gt;""),AX128/AQ127,"")</f>
        <v/>
      </c>
      <c r="AG126" s="234" t="str">
        <f>IF(BA128=0,"",IF(AD128="",AX126,IF(AND(D126&lt;&gt;"",AU126=""),AX128*SQRT(AP128^2+AP129^2)/SQRT(AS126^2+AS127^2)/AQ127,AX126*SQRT(AP128^2+AP129^2)/SQRT(AS126^2+AS127^2))))</f>
        <v/>
      </c>
      <c r="AH126" s="235"/>
      <c r="AI126" s="105" t="str">
        <f>IF(AG126="","",IF(N(U126)&lt;0,-AX126*AQ127/SQRT(AS126^2+AS127^2),AX126*AQ127/SQRT(AS126^2+AS127^2)))</f>
        <v/>
      </c>
      <c r="AJ126" s="201"/>
      <c r="AK126" s="202"/>
      <c r="AL126" s="106"/>
      <c r="AM126" s="59"/>
      <c r="AN126" s="107" t="b">
        <f>IF(BA126="","",IF(AND(BA126=1,F128=50,L126="油入自冷"),VLOOKUP(L128,変１,2,FALSE),IF(AND(BA126=1,F128=50,L126="モ－ルド絶縁"),VLOOKUP(L128,変１,7,FALSE),IF(AND(BA126=1,F128=60,L126="油入自冷"),VLOOKUP(L128,変１,12,FALSE),IF(AND(BA126=1,F128=60,L126="モ－ルド絶縁"),VLOOKUP(L128,変１,17,FALSE),FALSE)))))</f>
        <v>0</v>
      </c>
      <c r="AO126" s="107">
        <f>IF(ISNA(VLOOKUP(L128,変ＵＳＥＲ,2,FALSE)),0,VLOOKUP(L128,変ＵＳＥＲ,2,FALSE))</f>
        <v>0</v>
      </c>
      <c r="AP126" s="108">
        <f>IF(N126="",0,N126*1000/BA128^2/SQRT(BA126))</f>
        <v>0</v>
      </c>
      <c r="AQ126" s="107" t="b">
        <f>IF(BA126=1,2,IF(BA126=3,SQRT(3),FALSE))</f>
        <v>0</v>
      </c>
      <c r="AR126" s="109" t="str">
        <f>IF(X126="","",IF(X126="600V IV",VLOOKUP(X128,ＩＶ,2,FALSE),IF(X126="600V CV-T",VLOOKUP(X128,ＣＶＴ,2,FALSE),IF(OR(X126="600V CV-1C",X126="600V CV-2C",X126="600V CV-3C",X126="600V CV-4C"),VLOOKUP(X128,ＣＶ２３Ｃ,2,FALSE),VLOOKUP(X128,ＣＵＳＥＲ,2,FALSE)))))</f>
        <v/>
      </c>
      <c r="AS126" s="107" t="str">
        <f>IF(AB129="",AP128,AP128+(AB129/1000))</f>
        <v/>
      </c>
      <c r="AT126" s="110" t="e">
        <f>IF(AU128="",AT128,AU128)</f>
        <v>#REF!</v>
      </c>
      <c r="AU126" s="110" t="str">
        <f>IF(D126="","",IF(AND(#REF!="",D190&lt;&gt;"",AV129=AV193),AT190,IF(AND(#REF!="",D190="",D194&lt;&gt;"",#REF!=AV197),AT194,IF(AND(#REF!="",D190="",D194="",D198&lt;&gt;"",AV193=AV201),AT198,IF(AND(#REF!="",D190="",D194="",D198="",D202&lt;&gt;"",AV197=AV205),AT202,IF(AND(#REF!="",D190="",D194="",D198="",D202="",D206&lt;&gt;"",AV201=AV209),AT206,IF(AND(#REF!="",D190="",D194="",D198="",D202="",D206="",D210&lt;&gt;"",AV205=AV213),AT210,"")))))))</f>
        <v/>
      </c>
      <c r="AV126" s="110" t="str">
        <f>IF(L126="発電機",IF(ISNA(VLOOKUP(L128,ＡＣＧ,2,FALSE)),0,VLOOKUP(L128,ＡＣＧ,2,FALSE)),"")</f>
        <v/>
      </c>
      <c r="AW126" s="111" t="e">
        <f>IF(AT126="","",AT126/((AT126*AP126)^2+(AT127*AP126-1)^2))</f>
        <v>#REF!</v>
      </c>
      <c r="AX126" s="112" t="str">
        <f>IF(BA128=0,"",IF(OR(AX122="",AF126&lt;&gt;""),AF126*SQRT(AS128^2+AS129^2)/SQRT(AT128^2+AT129^2),AX122*SQRT(AS128^2+AS129^2)/SQRT(AT128^2+AT129^2)))</f>
        <v/>
      </c>
      <c r="AY126" s="113">
        <f>IF(N(AY128)=10^30,10^30,IF(N(#REF!)=10^30,(N(AY128)*(N(#REF!)^2+N(#REF!)^2)+N(#REF!)*(N(AY128)^2+N(AY129)^2))/((N(AY128)+N(#REF!))^2+(N(AY129)+N(#REF!))^2),(N(AY128)*(N(#REF!)^2+N(#REF!)^2)+N(#REF!)*(N(AY128)^2+N(AY129)^2))/((N(AY128)+N(#REF!))^2+(N(AY129)+N(#REF!))^2)))</f>
        <v>1E+30</v>
      </c>
      <c r="AZ126" s="52"/>
      <c r="BA126" s="114">
        <f>IF(AND(F126="",SUM(S126:S129)&lt;&gt;0),BA122,F126)</f>
        <v>0</v>
      </c>
      <c r="BB126" s="115">
        <f>IF(AND(BA126=3,S126&lt;&gt;""),1,0)</f>
        <v>0</v>
      </c>
      <c r="BC126" s="52"/>
      <c r="BD126" s="52"/>
      <c r="BH126" s="162">
        <f>IF(OR(E126="",F129="",AND(OR(P126="",Q126="",R126="",T126=""),OR(P127="",Q127="",R127="",T127=""),OR(P128="",Q128="",R128="",T128=""),OR(P129="",Q129="",R129="",T129="")),AND(OR(X126="",X128="",Y128="",Z128=""),OR(AB126="",AB128="",AC128="",AD128=""))),0,1)</f>
        <v>0</v>
      </c>
      <c r="BI126" s="162">
        <f>BH126+BI122</f>
        <v>4</v>
      </c>
      <c r="BJ126" s="4"/>
      <c r="BK126" s="4"/>
    </row>
    <row r="127" spans="1:63" ht="15" customHeight="1" x14ac:dyDescent="0.15">
      <c r="A127" s="159"/>
      <c r="B127" s="159"/>
      <c r="C127" s="245"/>
      <c r="D127" s="432"/>
      <c r="E127" s="448"/>
      <c r="F127" s="434"/>
      <c r="G127" s="241"/>
      <c r="H127" s="435"/>
      <c r="I127" s="241"/>
      <c r="J127" s="435"/>
      <c r="K127" s="247"/>
      <c r="L127" s="436"/>
      <c r="M127" s="170" t="str">
        <f>IF(L126="発電機",SQRT(AV126^2+AV127^2),IF(L128="","",IF(OR(L126="油入自冷",L126="モ－ルド絶縁"),IF(BA126=1,SQRT(AN126^2+AN127^2),IF(BA126=3,SQRT(AN128^2+AN129^2))),SQRT(AO126^2+AO127^2))))</f>
        <v/>
      </c>
      <c r="N127" s="437"/>
      <c r="O127" s="171"/>
      <c r="P127" s="195"/>
      <c r="Q127" s="172"/>
      <c r="R127" s="173"/>
      <c r="S127" s="174" t="str">
        <f t="shared" si="5"/>
        <v/>
      </c>
      <c r="T127" s="175"/>
      <c r="U127" s="176" t="str">
        <f>IF(OR(BA128="",S127=""),"",S127*1000*T127/(SQRT(BA126)*BA128))</f>
        <v/>
      </c>
      <c r="V127" s="237"/>
      <c r="W127" s="221"/>
      <c r="X127" s="225"/>
      <c r="Y127" s="226"/>
      <c r="Z127" s="227"/>
      <c r="AA127" s="229"/>
      <c r="AB127" s="231"/>
      <c r="AC127" s="226"/>
      <c r="AD127" s="227"/>
      <c r="AE127" s="233"/>
      <c r="AF127" s="124" t="str">
        <f>IF(OR(AF126="",AG122&lt;&gt;""),"",AF126*AQ127/SQRT(AT126^2+AT127^2))</f>
        <v/>
      </c>
      <c r="AG127" s="205" t="str">
        <f>IF(AG126="","",100*AG126*AQ127/BA128)</f>
        <v/>
      </c>
      <c r="AH127" s="206"/>
      <c r="AI127" s="207" t="str">
        <f>IF(BA128=0,"",IF(AI122="",AX128/SQRT(AT126^2+AT127^2),IF(AI130="","",IF(AT126&lt;0,-AX126*AQ123/SQRT(AT126^2+AT127^2),AX126*AQ123/SQRT(AT126^2+AT127^2)))))</f>
        <v/>
      </c>
      <c r="AJ127" s="203"/>
      <c r="AK127" s="204"/>
      <c r="AL127" s="125"/>
      <c r="AM127" s="59"/>
      <c r="AN127" s="107" t="b">
        <f>IF(BA126="","",IF(AND(BA126=1,F128=50,L126="油入自冷"),VLOOKUP(L128,変１,3,FALSE),IF(AND(BA126=1,F128=50,L126="モ－ルド絶縁"),VLOOKUP(L128,変１,8,FALSE),IF(AND(BA126=1,F128=60,L126="油入自冷"),VLOOKUP(L128,変１,13,FALSE),IF(AND(BA126=1,F128=60,L126="モ－ルド絶縁"),VLOOKUP(L128,変１,18,FALSE),FALSE)))))</f>
        <v>0</v>
      </c>
      <c r="AO127" s="107">
        <f>IF(ISNA(VLOOKUP(L128,変ＵＳＥＲ,3,FALSE)),0,VLOOKUP(L128,変ＵＳＥＲ,3,FALSE)*BA129/50)</f>
        <v>0</v>
      </c>
      <c r="AP127" s="108">
        <f>IF(W126="",0,W126*1000/BA128^2/SQRT(BA126))</f>
        <v>0</v>
      </c>
      <c r="AQ127" s="107">
        <f>IF(AND(BA126=1,BA127=2),1,IF(AND(BA126=3,BA127=3),1,IF(AND(BA126=1,BA127=3),2,IF(AND(BA126=3,BA127=4)*OR(BB126=1,BB127=1,BB128=1,BB129=1),1,SQRT(3)))))</f>
        <v>1.7320508075688772</v>
      </c>
      <c r="AR127" s="109" t="str">
        <f>IF(X126="","",IF(X126="600V IV",VLOOKUP(X128,ＩＶ,3,FALSE),IF(X126="600V CV-T",VLOOKUP(X128,ＣＶＴ,3,FALSE),IF(OR(X126="600V CV-1C",X126="600V CV-2C",X126="600V CV-3C",X126="600V CV-4C"),VLOOKUP(X128,ＣＶ２３Ｃ,3,FALSE),VLOOKUP(X128,ＣＵＳＥＲ,3,FALSE)))))</f>
        <v/>
      </c>
      <c r="AS127" s="107" t="str">
        <f>IF(AD129="",AP129,AP129+(AD129/1000))</f>
        <v/>
      </c>
      <c r="AT127" s="110" t="e">
        <f>IF(AU129="",AT129,AU129)</f>
        <v>#REF!</v>
      </c>
      <c r="AU127" s="110" t="str">
        <f>IF(D126="","",IF(AND(#REF!="",D190&lt;&gt;"",AV129=AV193),AT191,IF(AND(#REF!="",D190="",D194&lt;&gt;"",#REF!=AV197),AT195,IF(AND(#REF!="",D190="",D194="",D198&lt;&gt;"",AV193=AV201),AT199,IF(AND(#REF!="",D190="",D194="",D198="",D202&lt;&gt;"",AV197=AV205),AT203,IF(AND(#REF!="",D190="",D194="",D198="",D202="",D206&lt;&gt;"",AV201=AV209),AT207,IF(AND(#REF!="",D190="",D194="",D198="",D202="",D206="",D210&lt;&gt;"",AV205=AV213),AT211,"")))))))</f>
        <v/>
      </c>
      <c r="AV127" s="109" t="str">
        <f>IF(L126="発電機",IF(ISNA(VLOOKUP(L128,ＡＣＧ,3,FALSE)),0,VLOOKUP(L128,ＡＣＧ,3,FALSE)*BA129/50),"")</f>
        <v/>
      </c>
      <c r="AW127" s="111" t="e">
        <f>IF(AT127="","",(AT127-AP126*(AT126^2+AT127^2))/((AT126*AP126)^2+(AP126*AT127-1)^2))</f>
        <v>#REF!</v>
      </c>
      <c r="AX127" s="112"/>
      <c r="AY127" s="113">
        <f>IF(N(AY129)=10^30,10^30,IF(N(#REF!)=10^30,(N(AY129)*(N(#REF!)^2+N(#REF!)^2)+N(#REF!)*(N(AY128)^2+N(AY129)^2))/((N(AY128)+N(#REF!))^2+(N(AY129)+N(#REF!))^2),(N(AY129)*(N(#REF!)^2+N(#REF!)^2)+N(#REF!)*(N(AY128)^2+N(AY129)^2))/((N(AY128)+N(#REF!))^2+(N(AY129)+N(#REF!))^2)))</f>
        <v>1E+30</v>
      </c>
      <c r="AZ127" s="52"/>
      <c r="BA127" s="114">
        <f>IF(AND(H126="",SUM(S126:S129)&lt;&gt;0),BA123,H126)</f>
        <v>0</v>
      </c>
      <c r="BB127" s="115">
        <f>IF(AND(BA126=3,S127&lt;&gt;""),1,0)</f>
        <v>0</v>
      </c>
      <c r="BC127" s="52"/>
      <c r="BD127" s="52"/>
      <c r="BH127" s="162"/>
      <c r="BI127" s="162"/>
      <c r="BJ127" s="4"/>
      <c r="BK127" s="4"/>
    </row>
    <row r="128" spans="1:63" ht="15" customHeight="1" x14ac:dyDescent="0.15">
      <c r="A128" s="159"/>
      <c r="B128" s="159"/>
      <c r="C128" s="245"/>
      <c r="D128" s="432"/>
      <c r="E128" s="448"/>
      <c r="F128" s="438"/>
      <c r="G128" s="438"/>
      <c r="H128" s="438"/>
      <c r="I128" s="438"/>
      <c r="J128" s="438"/>
      <c r="K128" s="439"/>
      <c r="L128" s="440"/>
      <c r="M128" s="441"/>
      <c r="N128" s="437"/>
      <c r="O128" s="171"/>
      <c r="P128" s="196"/>
      <c r="Q128" s="177"/>
      <c r="R128" s="173"/>
      <c r="S128" s="174" t="str">
        <f t="shared" si="5"/>
        <v/>
      </c>
      <c r="T128" s="175"/>
      <c r="U128" s="178" t="str">
        <f>IF(OR(BA128="",S128=""),"",S128*1000*T128/(SQRT(BA126)*BA128))</f>
        <v/>
      </c>
      <c r="V128" s="179" t="str">
        <f>IF(AND(N(U126)=0,N(U127)=0,N(U128)=0,N(U129)=0),"",V126*(P126*R126*T126+P127*R127*T127+P128*R128*T128+P129*R129*T129)/(P126*T126+P127*T127+P128*T128+P129*T129))</f>
        <v/>
      </c>
      <c r="W128" s="209" t="str">
        <f>IF(AND(N(AP128)=0,N(AP129)=0,N(AP127)=0),"",IF(AP129&gt;=0,COS(ATAN(AP129/AP128)),-COS(ATAN(AP129/AP128))))</f>
        <v/>
      </c>
      <c r="X128" s="180"/>
      <c r="Y128" s="181"/>
      <c r="Z128" s="182"/>
      <c r="AA128" s="183"/>
      <c r="AB128" s="184"/>
      <c r="AC128" s="181"/>
      <c r="AD128" s="182"/>
      <c r="AE128" s="185"/>
      <c r="AF128" s="136" t="str">
        <f>IF(OR(AF126="",AG122&lt;&gt;""),"",BA128/SQRT(AW128^2+AW129^2))</f>
        <v/>
      </c>
      <c r="AG128" s="205" t="str">
        <f>IF(AG126="","",100*((BA128/AQ127)-AG126)/(BA128/AQ127))</f>
        <v/>
      </c>
      <c r="AH128" s="206"/>
      <c r="AI128" s="208"/>
      <c r="AJ128" s="211"/>
      <c r="AK128" s="213"/>
      <c r="AL128" s="137"/>
      <c r="AM128" s="59"/>
      <c r="AN128" s="138" t="b">
        <f>IF(BA126="","",IF(AND(BA126=3,F128=50,L126="油入自冷"),VLOOKUP(L128,変３,2,FALSE),IF(AND(BA126=3,F128=50,L126="モ－ルド絶縁"),VLOOKUP(L128,変３,7,FALSE),IF(AND(BA126=3,F128=60,L126="油入自冷"),VLOOKUP(L128,変３,12,FALSE),IF(AND(BA126=3,F128=60,L126="モ－ルド絶縁"),VLOOKUP(L128,変３,17,FALSE),FALSE)))))</f>
        <v>0</v>
      </c>
      <c r="AO128" s="109" t="str">
        <f>IF(AND(L122="",N(AY126)&lt;10^29),AY126,"")</f>
        <v/>
      </c>
      <c r="AP128" s="139" t="str">
        <f>IF(V126="","",IF(AND(N(V128)=0,N(AP127)=0),"",AQ128/((AQ128*AP127)^2+(AP127*AQ129-1)^2)))</f>
        <v/>
      </c>
      <c r="AQ128" s="107">
        <f>IF(N(V128)=0,10^30,V128)</f>
        <v>1E+30</v>
      </c>
      <c r="AR128" s="109" t="str">
        <f>IF(AB126="","",IF(AB126="600V IV",VLOOKUP(AB128,ＩＶ,2,FALSE),IF(AB126="600V CV-T",VLOOKUP(AB128,ＣＶＴ,2,FALSE),IF(OR(AB126="600V CV-1C",AB126="600V CV-2C",AB126="600V CV-3C",AB126="600V CV-4C"),VLOOKUP(AB128,ＣＶ２３Ｃ,2,FALSE),VLOOKUP(AB128,ＣＵＳＥＲ,2,FALSE)))))</f>
        <v/>
      </c>
      <c r="AS128" s="107" t="e">
        <f>IF(OR(AND(#REF!="",#REF!=""),AND(D126="",#REF!&lt;&gt;"")),AS126,(AS126*(#REF!^2+#REF!^2)+#REF!*(AS126^2+AS127^2))/((AS126+#REF!)^2+(AS127+#REF!)^2))</f>
        <v>#REF!</v>
      </c>
      <c r="AT128" s="110" t="e">
        <f>IF(X129="",AS128,N(AS128)+(X129/1000))</f>
        <v>#REF!</v>
      </c>
      <c r="AU128" s="110" t="str">
        <f>IF(AU126="","",(AT128*(AU126^2+AU127^2)+AU126*(AT128^2+AT129^2))/((AT128+AU126)^2+(AT129+AU127)^2))</f>
        <v/>
      </c>
      <c r="AV128" s="110">
        <f>IF(BA128=0,1,0)</f>
        <v>1</v>
      </c>
      <c r="AW128" s="111" t="str">
        <f>IF(AO128="","",AW126+AO128)</f>
        <v/>
      </c>
      <c r="AX128" s="112" t="str">
        <f>IF(AND(AX124="",AW128&lt;&gt;""),BA128*SQRT(AW126^2+AW127^2)/SQRT(AW128^2+AW129^2),IF(BA128&lt;&gt;0,AX124,""))</f>
        <v/>
      </c>
      <c r="AY128" s="140">
        <f>IF(L128="",10^30,SQRT(BA126)*(BA128^2)*(N(AN126)+N(AN128)+N(AO126)+N(AV126))/(100000*L128*M126))</f>
        <v>1E+30</v>
      </c>
      <c r="AZ128" s="141"/>
      <c r="BA128" s="114">
        <f>IF(AND(J126="",SUM(S126:S129)&lt;&gt;0),BA124,J126)</f>
        <v>0</v>
      </c>
      <c r="BB128" s="115">
        <f>IF(AND(BA126=3,S128&lt;&gt;""),1,0)</f>
        <v>0</v>
      </c>
      <c r="BC128" s="52"/>
      <c r="BD128" s="52"/>
      <c r="BH128" s="162"/>
      <c r="BI128" s="162"/>
      <c r="BJ128" s="4"/>
      <c r="BK128" s="4"/>
    </row>
    <row r="129" spans="1:63" ht="15" customHeight="1" x14ac:dyDescent="0.15">
      <c r="A129" s="159"/>
      <c r="B129" s="159"/>
      <c r="C129" s="245"/>
      <c r="D129" s="442"/>
      <c r="E129" s="449"/>
      <c r="F129" s="444"/>
      <c r="G129" s="444"/>
      <c r="H129" s="444"/>
      <c r="I129" s="444"/>
      <c r="J129" s="444"/>
      <c r="K129" s="445"/>
      <c r="L129" s="238" t="str">
        <f>IF(M126="","",L128*1000*M126/(SQRT(BA126)*BA128))</f>
        <v/>
      </c>
      <c r="M129" s="239"/>
      <c r="N129" s="446"/>
      <c r="O129" s="186"/>
      <c r="P129" s="197"/>
      <c r="Q129" s="187"/>
      <c r="R129" s="188"/>
      <c r="S129" s="189" t="str">
        <f t="shared" si="5"/>
        <v/>
      </c>
      <c r="T129" s="190"/>
      <c r="U129" s="191" t="str">
        <f>IF(OR(BA128="",S129=""),"",S129*1000*T129/(SQRT(BA126)*BA128))</f>
        <v/>
      </c>
      <c r="V129" s="192" t="str">
        <f>IF(AND(N(U126)=0,N(U127)=0,N(U128)=0,N(U129)=0),"",IF(V126&gt;=0,SQRT(ABS(V126^2-V128^2)),-SQRT(V126^2-V128^2)))</f>
        <v/>
      </c>
      <c r="W129" s="210"/>
      <c r="X129" s="215" t="str">
        <f>IF(Y128="","",AQ126*Z128*AR126*((1+0.00393*(F129-20))/1.2751)/Y128)</f>
        <v/>
      </c>
      <c r="Y129" s="216"/>
      <c r="Z129" s="217" t="str">
        <f>IF(Y128="","",(BA129/50)*AQ126*Z128*AR127/Y128)</f>
        <v/>
      </c>
      <c r="AA129" s="218"/>
      <c r="AB129" s="219" t="str">
        <f>IF(AC128="","",AQ126*AD128*AR128*((1+0.00393*(F129-20))/1.2751)/AC128)</f>
        <v/>
      </c>
      <c r="AC129" s="216"/>
      <c r="AD129" s="217" t="str">
        <f>IF(AC128="","",(BA129/50)*AQ126*AD128*AR129/AC128)</f>
        <v/>
      </c>
      <c r="AE129" s="242"/>
      <c r="AF129" s="150" t="str">
        <f>IF(AND(AX126&lt;&gt;"",D126=""),AX126,"")</f>
        <v/>
      </c>
      <c r="AG129" s="243" t="str">
        <f>IF(AP128="","",AP128)</f>
        <v/>
      </c>
      <c r="AH129" s="244"/>
      <c r="AI129" s="151" t="str">
        <f>IF(AP129="","",AP129)</f>
        <v/>
      </c>
      <c r="AJ129" s="212"/>
      <c r="AK129" s="214"/>
      <c r="AL129" s="152"/>
      <c r="AM129" s="59"/>
      <c r="AN129" s="153" t="b">
        <f>IF(BA126="","",IF(AND(BA126=3,F128=50,L126="油入自冷"),VLOOKUP(L128,変３,3,FALSE),IF(AND(BA126=3,F128=50,L126="モ－ルド絶縁"),VLOOKUP(L128,変３,8,FALSE),IF(AND(BA126=3,F128=60,L126="油入自冷"),VLOOKUP(L128,変３,13,FALSE),IF(AND(BA126=3,F128=60,L126="モ－ルド絶縁"),VLOOKUP(L128,変３,18,FALSE),FALSE)))))</f>
        <v>0</v>
      </c>
      <c r="AO129" s="153" t="str">
        <f>IF(AND(L122="",N(AY127)&lt;10^29),AY127,"")</f>
        <v/>
      </c>
      <c r="AP129" s="154" t="str">
        <f>IF(V126="","",IF(AND(N(V129)=0,N(AP127)=0),0,(AQ129-AP127*(AQ128^2+AQ129^2))/((AQ128*AP127)^2+(AP127*AQ129-1)^2)))</f>
        <v/>
      </c>
      <c r="AQ129" s="155">
        <f>IF(N(V129)=0,10^30,V129)</f>
        <v>1E+30</v>
      </c>
      <c r="AR129" s="153" t="str">
        <f>IF(AB126="","",IF(AB126="600V IV",VLOOKUP(AB128,ＩＶ,3,FALSE),IF(AB126="600V CV-T",VLOOKUP(AB128,ＣＶＴ,3,FALSE),IF(OR(AB126="600V CV-1C",AB126="600V CV-2C",AB126="600V CV-3C",AB126="600V CV-4C"),VLOOKUP(AB128,ＣＶ２３Ｃ,3,FALSE),VLOOKUP(AB128,ＣＵＳＥＲ,3,FALSE)))))</f>
        <v/>
      </c>
      <c r="AS129" s="155" t="e">
        <f>IF(OR(AND(#REF!="",#REF!=""),AND(D126="",#REF!&lt;&gt;"")),AS127,(AS127*(#REF!^2+#REF!^2)+#REF!*(AS126^2+AS127^2))/((AS126+#REF!)^2+(AS127+#REF!)^2))</f>
        <v>#REF!</v>
      </c>
      <c r="AT129" s="156" t="e">
        <f>IF(Z129="",AS129,N(AS129)+(Z129/1000))</f>
        <v>#REF!</v>
      </c>
      <c r="AU129" s="156" t="str">
        <f>IF(AU127="","",(AT129*(AU126^2+AU127^2)+AU127*(AT128^2+AT129^2))/((AT128+AU126)^2+(AT129+AU127)^2))</f>
        <v/>
      </c>
      <c r="AV129" s="156">
        <f>AV125+AV128</f>
        <v>10</v>
      </c>
      <c r="AW129" s="155" t="str">
        <f>IF(AO129="","",AW127+AO129)</f>
        <v/>
      </c>
      <c r="AX129" s="157"/>
      <c r="AY129" s="140">
        <f>IF(L128="",10^30,SQRT(BA126)*(BA128^2)*(N(AN127)+N(AN129)+N(AO127)+N(AV127))/(100000*L128*M126))</f>
        <v>1E+30</v>
      </c>
      <c r="AZ129" s="141"/>
      <c r="BA129" s="114">
        <f>IF(AND(F128="",SUM(S126:S129)&lt;&gt;0),BA125,F128)</f>
        <v>0</v>
      </c>
      <c r="BB129" s="115">
        <f>IF(AND(BA126=3,S129&lt;&gt;""),1,0)</f>
        <v>0</v>
      </c>
      <c r="BC129" s="52"/>
      <c r="BD129" s="52"/>
      <c r="BH129" s="162"/>
      <c r="BI129" s="162"/>
      <c r="BJ129" s="4"/>
      <c r="BK129" s="4"/>
    </row>
    <row r="130" spans="1:63" ht="15" customHeight="1" x14ac:dyDescent="0.15">
      <c r="A130" s="159"/>
      <c r="B130" s="159"/>
      <c r="C130" s="245" t="str">
        <f>IF(BH130=1,"●","・")</f>
        <v>・</v>
      </c>
      <c r="D130" s="425"/>
      <c r="E130" s="447"/>
      <c r="F130" s="427"/>
      <c r="G130" s="240" t="str">
        <f>IF(F130="","","φ")</f>
        <v/>
      </c>
      <c r="H130" s="428"/>
      <c r="I130" s="240" t="str">
        <f>IF(H130="","","W")</f>
        <v/>
      </c>
      <c r="J130" s="428"/>
      <c r="K130" s="246" t="str">
        <f>IF(J130="","","V")</f>
        <v/>
      </c>
      <c r="L130" s="429"/>
      <c r="M130" s="430"/>
      <c r="N130" s="431"/>
      <c r="O130" s="164"/>
      <c r="P130" s="194"/>
      <c r="Q130" s="165"/>
      <c r="R130" s="166"/>
      <c r="S130" s="167" t="str">
        <f>IF(R130="","",IF(Q130="",P130/R130,P130/(Q130*R130)))</f>
        <v/>
      </c>
      <c r="T130" s="168"/>
      <c r="U130" s="169" t="str">
        <f>IF(OR(BA132="",S130=""),"",S130*1000*T130/(SQRT(BA130)*BA132))</f>
        <v/>
      </c>
      <c r="V130" s="236" t="str">
        <f>IF(AND(N(U130)=0,N(U131)=0,N(U132)=0,N(U133)=0),"",BA132/(SUM(U130:U133)))</f>
        <v/>
      </c>
      <c r="W130" s="220"/>
      <c r="X130" s="222"/>
      <c r="Y130" s="223"/>
      <c r="Z130" s="224"/>
      <c r="AA130" s="228"/>
      <c r="AB130" s="230"/>
      <c r="AC130" s="223"/>
      <c r="AD130" s="224"/>
      <c r="AE130" s="232"/>
      <c r="AF130" s="104" t="str">
        <f>IF(OR(AND(AF126="",N(BA128)=0,BA132&lt;&gt;0),D130&lt;&gt;""),AX132/AQ131,"")</f>
        <v/>
      </c>
      <c r="AG130" s="234" t="str">
        <f>IF(BA132=0,"",IF(AD132="",AX130,IF(AND(D130&lt;&gt;"",AU130=""),AX132*SQRT(AP132^2+AP133^2)/SQRT(AS130^2+AS131^2)/AQ131,AX130*SQRT(AP132^2+AP133^2)/SQRT(AS130^2+AS131^2))))</f>
        <v/>
      </c>
      <c r="AH130" s="235"/>
      <c r="AI130" s="105" t="str">
        <f>IF(AG130="","",IF(N(U130)&lt;0,-AX130*AQ131/SQRT(AS130^2+AS131^2),AX130*AQ131/SQRT(AS130^2+AS131^2)))</f>
        <v/>
      </c>
      <c r="AJ130" s="201"/>
      <c r="AK130" s="202"/>
      <c r="AL130" s="106"/>
      <c r="AM130" s="59"/>
      <c r="AN130" s="107" t="b">
        <f>IF(BA130="","",IF(AND(BA130=1,F132=50,L130="油入自冷"),VLOOKUP(L132,変１,2,FALSE),IF(AND(BA130=1,F132=50,L130="モ－ルド絶縁"),VLOOKUP(L132,変１,7,FALSE),IF(AND(BA130=1,F132=60,L130="油入自冷"),VLOOKUP(L132,変１,12,FALSE),IF(AND(BA130=1,F132=60,L130="モ－ルド絶縁"),VLOOKUP(L132,変１,17,FALSE),FALSE)))))</f>
        <v>0</v>
      </c>
      <c r="AO130" s="107">
        <f>IF(ISNA(VLOOKUP(L132,変ＵＳＥＲ,2,FALSE)),0,VLOOKUP(L132,変ＵＳＥＲ,2,FALSE))</f>
        <v>0</v>
      </c>
      <c r="AP130" s="108">
        <f>IF(N130="",0,N130*1000/BA132^2/SQRT(BA130))</f>
        <v>0</v>
      </c>
      <c r="AQ130" s="107" t="b">
        <f>IF(BA130=1,2,IF(BA130=3,SQRT(3),FALSE))</f>
        <v>0</v>
      </c>
      <c r="AR130" s="109" t="str">
        <f>IF(X130="","",IF(X130="600V IV",VLOOKUP(X132,ＩＶ,2,FALSE),IF(X130="600V CV-T",VLOOKUP(X132,ＣＶＴ,2,FALSE),IF(OR(X130="600V CV-1C",X130="600V CV-2C",X130="600V CV-3C",X130="600V CV-4C"),VLOOKUP(X132,ＣＶ２３Ｃ,2,FALSE),VLOOKUP(X132,ＣＵＳＥＲ,2,FALSE)))))</f>
        <v/>
      </c>
      <c r="AS130" s="107" t="str">
        <f>IF(AB133="",AP132,AP132+(AB133/1000))</f>
        <v/>
      </c>
      <c r="AT130" s="110" t="str">
        <f>IF(AU132="",AT132,AU132)</f>
        <v/>
      </c>
      <c r="AU130" s="110" t="str">
        <f>IF(D130="","",IF(AND(D190="",D194&lt;&gt;"",AV133=AV197),AT194,IF(AND(D190="",D194="",D198&lt;&gt;"",AV193=AV201),AT198,IF(AND(D190="",D194="",D198="",D202&lt;&gt;"",AV197=AV205),AT202,IF(AND(D190="",D194="",D198="",D202="",D206&lt;&gt;"",AV201=AV209),AT206,IF(AND(D190="",D194="",D198="",D202="",D206="",D210&lt;&gt;"",AV205=AV213),AT210,IF(AND(D190="",D194="",D198="",D202="",D206="",D210="",D214&lt;&gt;"",AV209=AV217),AT214,"")))))))</f>
        <v/>
      </c>
      <c r="AV130" s="110" t="str">
        <f>IF(L130="発電機",IF(ISNA(VLOOKUP(L132,ＡＣＧ,2,FALSE)),0,VLOOKUP(L132,ＡＣＧ,2,FALSE)),"")</f>
        <v/>
      </c>
      <c r="AW130" s="111" t="str">
        <f>IF(AT130="","",AT130/((AT130*AP130)^2+(AT131*AP130-1)^2))</f>
        <v/>
      </c>
      <c r="AX130" s="112" t="str">
        <f>IF(BA132=0,"",IF(OR(AX126="",AF130&lt;&gt;""),AF130*SQRT(AS132^2+AS133^2)/SQRT(AT132^2+AT133^2),AX126*SQRT(AS132^2+AS133^2)/SQRT(AT132^2+AT133^2)))</f>
        <v/>
      </c>
      <c r="AY130" s="113">
        <f>IF(N(AY132)=10^30,10^30,IF(N(AY192)=10^30,(N(AY132)*(N(AY192)^2+N(AY193)^2)+N(AY192)*(N(AY132)^2+N(AY133)^2))/((N(AY132)+N(AY192))^2+(N(AY133)+N(AY193))^2),(N(AY132)*(N(AY190)^2+N(AY191)^2)+N(AY190)*(N(AY132)^2+N(AY133)^2))/((N(AY132)+N(AY190))^2+(N(AY133)+N(AY191))^2)))</f>
        <v>1E+30</v>
      </c>
      <c r="AZ130" s="52"/>
      <c r="BA130" s="114">
        <f>IF(AND(F130="",SUM(S130:S133)&lt;&gt;0),BA126,F130)</f>
        <v>0</v>
      </c>
      <c r="BB130" s="115">
        <f>IF(AND(BA130=3,S130&lt;&gt;""),1,0)</f>
        <v>0</v>
      </c>
      <c r="BC130" s="52"/>
      <c r="BD130" s="52"/>
      <c r="BH130" s="162">
        <f>IF(OR(E130="",F133="",AND(OR(P130="",Q130="",R130="",T130=""),OR(P131="",Q131="",R131="",T131=""),OR(P132="",Q132="",R132="",T132=""),OR(P133="",Q133="",R133="",T133="")),AND(OR(X130="",X132="",Y132="",Z132=""),OR(AB130="",AB132="",AC132="",AD132=""))),0,1)</f>
        <v>0</v>
      </c>
      <c r="BI130" s="162">
        <f>BH130+BI126</f>
        <v>4</v>
      </c>
      <c r="BJ130" s="4"/>
      <c r="BK130" s="4"/>
    </row>
    <row r="131" spans="1:63" ht="15" customHeight="1" x14ac:dyDescent="0.15">
      <c r="A131" s="159"/>
      <c r="B131" s="159"/>
      <c r="C131" s="245"/>
      <c r="D131" s="432"/>
      <c r="E131" s="448"/>
      <c r="F131" s="434"/>
      <c r="G131" s="241"/>
      <c r="H131" s="435"/>
      <c r="I131" s="241"/>
      <c r="J131" s="435"/>
      <c r="K131" s="247"/>
      <c r="L131" s="436"/>
      <c r="M131" s="170" t="str">
        <f>IF(L130="発電機",SQRT(AV130^2+AV131^2),IF(L132="","",IF(OR(L130="油入自冷",L130="モ－ルド絶縁"),IF(BA130=1,SQRT(AN130^2+AN131^2),IF(BA130=3,SQRT(AN132^2+AN133^2))),SQRT(AO130^2+AO131^2))))</f>
        <v/>
      </c>
      <c r="N131" s="437"/>
      <c r="O131" s="171"/>
      <c r="P131" s="195"/>
      <c r="Q131" s="172"/>
      <c r="R131" s="173"/>
      <c r="S131" s="174" t="str">
        <f t="shared" si="5"/>
        <v/>
      </c>
      <c r="T131" s="175"/>
      <c r="U131" s="176" t="str">
        <f>IF(OR(BA132="",S131=""),"",S131*1000*T131/(SQRT(BA130)*BA132))</f>
        <v/>
      </c>
      <c r="V131" s="237"/>
      <c r="W131" s="221"/>
      <c r="X131" s="225"/>
      <c r="Y131" s="226"/>
      <c r="Z131" s="227"/>
      <c r="AA131" s="229"/>
      <c r="AB131" s="231"/>
      <c r="AC131" s="226"/>
      <c r="AD131" s="227"/>
      <c r="AE131" s="233"/>
      <c r="AF131" s="124" t="str">
        <f>IF(OR(AF130="",AG126&lt;&gt;""),"",AF130*AQ131/SQRT(AT130^2+AT131^2))</f>
        <v/>
      </c>
      <c r="AG131" s="205" t="str">
        <f>IF(AG130="","",100*AG130*AQ131/BA132)</f>
        <v/>
      </c>
      <c r="AH131" s="206"/>
      <c r="AI131" s="207" t="str">
        <f>IF(BA132=0,"",IF(AI126="",AX132/SQRT(AT130^2+AT131^2),IF(AI134="","",IF(AT130&lt;0,-AX130*AQ127/SQRT(AT130^2+AT131^2),AX130*AQ127/SQRT(AT130^2+AT131^2)))))</f>
        <v/>
      </c>
      <c r="AJ131" s="203"/>
      <c r="AK131" s="204"/>
      <c r="AL131" s="125"/>
      <c r="AM131" s="59"/>
      <c r="AN131" s="107" t="b">
        <f>IF(BA130="","",IF(AND(BA130=1,F132=50,L130="油入自冷"),VLOOKUP(L132,変１,3,FALSE),IF(AND(BA130=1,F132=50,L130="モ－ルド絶縁"),VLOOKUP(L132,変１,8,FALSE),IF(AND(BA130=1,F132=60,L130="油入自冷"),VLOOKUP(L132,変１,13,FALSE),IF(AND(BA130=1,F132=60,L130="モ－ルド絶縁"),VLOOKUP(L132,変１,18,FALSE),FALSE)))))</f>
        <v>0</v>
      </c>
      <c r="AO131" s="107">
        <f>IF(ISNA(VLOOKUP(L132,変ＵＳＥＲ,3,FALSE)),0,VLOOKUP(L132,変ＵＳＥＲ,3,FALSE)*BA133/50)</f>
        <v>0</v>
      </c>
      <c r="AP131" s="108">
        <f>IF(W130="",0,W130*1000/BA132^2/SQRT(BA130))</f>
        <v>0</v>
      </c>
      <c r="AQ131" s="107">
        <f>IF(AND(BA130=1,BA131=2),1,IF(AND(BA130=3,BA131=3),1,IF(AND(BA130=1,BA131=3),2,IF(AND(BA130=3,BA131=4)*OR(BB130=1,BB131=1,BB132=1,BB133=1),1,SQRT(3)))))</f>
        <v>1.7320508075688772</v>
      </c>
      <c r="AR131" s="109" t="str">
        <f>IF(X130="","",IF(X130="600V IV",VLOOKUP(X132,ＩＶ,3,FALSE),IF(X130="600V CV-T",VLOOKUP(X132,ＣＶＴ,3,FALSE),IF(OR(X130="600V CV-1C",X130="600V CV-2C",X130="600V CV-3C",X130="600V CV-4C"),VLOOKUP(X132,ＣＶ２３Ｃ,3,FALSE),VLOOKUP(X132,ＣＵＳＥＲ,3,FALSE)))))</f>
        <v/>
      </c>
      <c r="AS131" s="107" t="str">
        <f>IF(AD133="",AP133,AP133+(AD133/1000))</f>
        <v/>
      </c>
      <c r="AT131" s="110" t="str">
        <f>IF(AU133="",AT133,AU133)</f>
        <v/>
      </c>
      <c r="AU131" s="110" t="str">
        <f>IF(D130="","",IF(AND(D190="",D194&lt;&gt;"",AV133=AV197),AT195,IF(AND(D190="",D194="",D198&lt;&gt;"",AV193=AV201),AT199,IF(AND(D190="",D194="",D198="",D202&lt;&gt;"",AV197=AV205),AT203,IF(AND(D190="",D194="",D198="",D202="",D206&lt;&gt;"",AV201=AV209),AT207,IF(AND(D190="",D194="",D198="",D202="",D206="",D210&lt;&gt;"",AV205=AV213),AT211,IF(AND(D190="",D194="",D198="",D202="",D206="",D210="",D214&lt;&gt;"",AV209=AV217),AT215,"")))))))</f>
        <v/>
      </c>
      <c r="AV131" s="109" t="str">
        <f>IF(L130="発電機",IF(ISNA(VLOOKUP(L132,ＡＣＧ,3,FALSE)),0,VLOOKUP(L132,ＡＣＧ,3,FALSE)*BA133/50),"")</f>
        <v/>
      </c>
      <c r="AW131" s="111" t="str">
        <f>IF(AT131="","",(AT131-AP130*(AT130^2+AT131^2))/((AT130*AP130)^2+(AP130*AT131-1)^2))</f>
        <v/>
      </c>
      <c r="AX131" s="112"/>
      <c r="AY131" s="113">
        <f>IF(N(AY133)=10^30,10^30,IF(N(AY193)=10^30,(N(AY133)*(N(AY192)^2+N(AY193)^2)+N(AY193)*(N(AY132)^2+N(AY133)^2))/((N(AY132)+N(AY192))^2+(N(AY133)+N(AY193))^2),(N(AY133)*(N(AY190)^2+N(AY191)^2)+N(AY191)*(N(AY132)^2+N(AY133)^2))/((N(AY132)+N(AY190))^2+(N(AY133)+N(AY191))^2)))</f>
        <v>1E+30</v>
      </c>
      <c r="AZ131" s="52"/>
      <c r="BA131" s="114">
        <f>IF(AND(H130="",SUM(S130:S133)&lt;&gt;0),BA127,H130)</f>
        <v>0</v>
      </c>
      <c r="BB131" s="115">
        <f>IF(AND(BA130=3,S131&lt;&gt;""),1,0)</f>
        <v>0</v>
      </c>
      <c r="BC131" s="52"/>
      <c r="BD131" s="52"/>
      <c r="BH131" s="162"/>
      <c r="BI131" s="162"/>
      <c r="BJ131" s="4"/>
      <c r="BK131" s="4"/>
    </row>
    <row r="132" spans="1:63" ht="15" customHeight="1" x14ac:dyDescent="0.15">
      <c r="A132" s="159"/>
      <c r="B132" s="159"/>
      <c r="C132" s="245"/>
      <c r="D132" s="432"/>
      <c r="E132" s="448"/>
      <c r="F132" s="438"/>
      <c r="G132" s="438"/>
      <c r="H132" s="438"/>
      <c r="I132" s="438"/>
      <c r="J132" s="438"/>
      <c r="K132" s="439"/>
      <c r="L132" s="440"/>
      <c r="M132" s="441"/>
      <c r="N132" s="437"/>
      <c r="O132" s="171"/>
      <c r="P132" s="196"/>
      <c r="Q132" s="177"/>
      <c r="R132" s="173"/>
      <c r="S132" s="174" t="str">
        <f t="shared" si="5"/>
        <v/>
      </c>
      <c r="T132" s="175"/>
      <c r="U132" s="178" t="str">
        <f>IF(OR(BA132="",S132=""),"",S132*1000*T132/(SQRT(BA130)*BA132))</f>
        <v/>
      </c>
      <c r="V132" s="179" t="str">
        <f>IF(AND(N(U130)=0,N(U131)=0,N(U132)=0,N(U133)=0),"",V130*(P130*R130*T130+P131*R131*T131+P132*R132*T132+P133*R133*T133)/(P130*T130+P131*T131+P132*T132+P133*T133))</f>
        <v/>
      </c>
      <c r="W132" s="209" t="str">
        <f>IF(AND(N(AP132)=0,N(AP133)=0,N(AP131)=0),"",IF(AP133&gt;=0,COS(ATAN(AP133/AP132)),-COS(ATAN(AP133/AP132))))</f>
        <v/>
      </c>
      <c r="X132" s="180"/>
      <c r="Y132" s="181"/>
      <c r="Z132" s="182"/>
      <c r="AA132" s="183"/>
      <c r="AB132" s="184"/>
      <c r="AC132" s="181"/>
      <c r="AD132" s="182"/>
      <c r="AE132" s="185"/>
      <c r="AF132" s="136" t="str">
        <f>IF(OR(AF130="",AG126&lt;&gt;""),"",BA132/SQRT(AW132^2+AW133^2))</f>
        <v/>
      </c>
      <c r="AG132" s="205" t="str">
        <f>IF(AG130="","",100*((BA132/AQ131)-AG130)/(BA132/AQ131))</f>
        <v/>
      </c>
      <c r="AH132" s="206"/>
      <c r="AI132" s="208"/>
      <c r="AJ132" s="211"/>
      <c r="AK132" s="213"/>
      <c r="AL132" s="137"/>
      <c r="AM132" s="59"/>
      <c r="AN132" s="138" t="b">
        <f>IF(BA130="","",IF(AND(BA130=3,F132=50,L130="油入自冷"),VLOOKUP(L132,変３,2,FALSE),IF(AND(BA130=3,F132=50,L130="モ－ルド絶縁"),VLOOKUP(L132,変３,7,FALSE),IF(AND(BA130=3,F132=60,L130="油入自冷"),VLOOKUP(L132,変３,12,FALSE),IF(AND(BA130=3,F132=60,L130="モ－ルド絶縁"),VLOOKUP(L132,変３,17,FALSE),FALSE)))))</f>
        <v>0</v>
      </c>
      <c r="AO132" s="109" t="str">
        <f>IF(AND(L126="",N(AY130)&lt;10^29),AY130,"")</f>
        <v/>
      </c>
      <c r="AP132" s="139" t="str">
        <f>IF(V130="","",IF(AND(N(V132)=0,N(AP131)=0),"",AQ132/((AQ132*AP131)^2+(AP131*AQ133-1)^2)))</f>
        <v/>
      </c>
      <c r="AQ132" s="107">
        <f>IF(N(V132)=0,10^30,V132)</f>
        <v>1E+30</v>
      </c>
      <c r="AR132" s="109" t="str">
        <f>IF(AB130="","",IF(AB130="600V IV",VLOOKUP(AB132,ＩＶ,2,FALSE),IF(AB130="600V CV-T",VLOOKUP(AB132,ＣＶＴ,2,FALSE),IF(OR(AB130="600V CV-1C",AB130="600V CV-2C",AB130="600V CV-3C",AB130="600V CV-4C"),VLOOKUP(AB132,ＣＶ２３Ｃ,2,FALSE),VLOOKUP(AB132,ＣＵＳＥＲ,2,FALSE)))))</f>
        <v/>
      </c>
      <c r="AS132" s="107" t="str">
        <f>IF(OR(AND(AS190="",AS191=""),AND(D130="",D190&lt;&gt;"")),AS130,(AS130*(AT190^2+AT191^2)+AT190*(AS130^2+AS131^2))/((AS130+AT190)^2+(AS131+AT191)^2))</f>
        <v/>
      </c>
      <c r="AT132" s="110" t="str">
        <f>IF(X133="",AS132,N(AS132)+(X133/1000))</f>
        <v/>
      </c>
      <c r="AU132" s="110" t="str">
        <f>IF(AU130="","",(AT132*(AU130^2+AU131^2)+AU130*(AT132^2+AT133^2))/((AT132+AU130)^2+(AT133+AU131)^2))</f>
        <v/>
      </c>
      <c r="AV132" s="110">
        <f>IF(BA132=0,1,0)</f>
        <v>1</v>
      </c>
      <c r="AW132" s="111" t="str">
        <f>IF(AO132="","",AW130+AO132)</f>
        <v/>
      </c>
      <c r="AX132" s="112" t="str">
        <f>IF(AND(AX128="",AW132&lt;&gt;""),BA132*SQRT(AW130^2+AW131^2)/SQRT(AW132^2+AW133^2),IF(BA132&lt;&gt;0,AX128,""))</f>
        <v/>
      </c>
      <c r="AY132" s="140">
        <f>IF(L132="",10^30,SQRT(BA130)*(BA132^2)*(N(AN130)+N(AN132)+N(AO130)+N(AV130))/(100000*L132*M130))</f>
        <v>1E+30</v>
      </c>
      <c r="AZ132" s="141"/>
      <c r="BA132" s="114">
        <f>IF(AND(J130="",SUM(S130:S133)&lt;&gt;0),BA128,J130)</f>
        <v>0</v>
      </c>
      <c r="BB132" s="115">
        <f>IF(AND(BA130=3,S132&lt;&gt;""),1,0)</f>
        <v>0</v>
      </c>
      <c r="BC132" s="52"/>
      <c r="BD132" s="52"/>
      <c r="BH132" s="162"/>
      <c r="BI132" s="162"/>
      <c r="BJ132" s="4"/>
      <c r="BK132" s="4"/>
    </row>
    <row r="133" spans="1:63" ht="15" customHeight="1" x14ac:dyDescent="0.15">
      <c r="A133" s="159"/>
      <c r="B133" s="159"/>
      <c r="C133" s="245"/>
      <c r="D133" s="442"/>
      <c r="E133" s="449"/>
      <c r="F133" s="444"/>
      <c r="G133" s="444"/>
      <c r="H133" s="444"/>
      <c r="I133" s="444"/>
      <c r="J133" s="444"/>
      <c r="K133" s="445"/>
      <c r="L133" s="238" t="str">
        <f>IF(M130="","",L132*1000*M130/(SQRT(BA130)*BA132))</f>
        <v/>
      </c>
      <c r="M133" s="239"/>
      <c r="N133" s="446"/>
      <c r="O133" s="186"/>
      <c r="P133" s="197"/>
      <c r="Q133" s="187"/>
      <c r="R133" s="188"/>
      <c r="S133" s="189" t="str">
        <f t="shared" si="5"/>
        <v/>
      </c>
      <c r="T133" s="190"/>
      <c r="U133" s="191" t="str">
        <f>IF(OR(BA132="",S133=""),"",S133*1000*T133/(SQRT(BA130)*BA132))</f>
        <v/>
      </c>
      <c r="V133" s="192" t="str">
        <f>IF(AND(N(U130)=0,N(U131)=0,N(U132)=0,N(U133)=0),"",IF(V130&gt;=0,SQRT(ABS(V130^2-V132^2)),-SQRT(V130^2-V132^2)))</f>
        <v/>
      </c>
      <c r="W133" s="210"/>
      <c r="X133" s="215" t="str">
        <f>IF(Y132="","",AQ130*Z132*AR130*((1+0.00393*(F133-20))/1.2751)/Y132)</f>
        <v/>
      </c>
      <c r="Y133" s="216"/>
      <c r="Z133" s="217" t="str">
        <f>IF(Y132="","",(BA133/50)*AQ130*Z132*AR131/Y132)</f>
        <v/>
      </c>
      <c r="AA133" s="218"/>
      <c r="AB133" s="219" t="str">
        <f>IF(AC132="","",AQ130*AD132*AR132*((1+0.00393*(F133-20))/1.2751)/AC132)</f>
        <v/>
      </c>
      <c r="AC133" s="216"/>
      <c r="AD133" s="217" t="str">
        <f>IF(AC132="","",(BA133/50)*AQ130*AD132*AR133/AC132)</f>
        <v/>
      </c>
      <c r="AE133" s="242"/>
      <c r="AF133" s="150" t="str">
        <f>IF(AND(AX130&lt;&gt;"",D130=""),AX130,"")</f>
        <v/>
      </c>
      <c r="AG133" s="243" t="str">
        <f>IF(AP132="","",AP132)</f>
        <v/>
      </c>
      <c r="AH133" s="244"/>
      <c r="AI133" s="151" t="str">
        <f>IF(AP133="","",AP133)</f>
        <v/>
      </c>
      <c r="AJ133" s="212"/>
      <c r="AK133" s="214"/>
      <c r="AL133" s="152"/>
      <c r="AM133" s="59"/>
      <c r="AN133" s="153" t="b">
        <f>IF(BA130="","",IF(AND(BA130=3,F132=50,L130="油入自冷"),VLOOKUP(L132,変３,3,FALSE),IF(AND(BA130=3,F132=50,L130="モ－ルド絶縁"),VLOOKUP(L132,変３,8,FALSE),IF(AND(BA130=3,F132=60,L130="油入自冷"),VLOOKUP(L132,変３,13,FALSE),IF(AND(BA130=3,F132=60,L130="モ－ルド絶縁"),VLOOKUP(L132,変３,18,FALSE),FALSE)))))</f>
        <v>0</v>
      </c>
      <c r="AO133" s="153" t="str">
        <f>IF(AND(L126="",N(AY131)&lt;10^29),AY131,"")</f>
        <v/>
      </c>
      <c r="AP133" s="154" t="str">
        <f>IF(V130="","",IF(AND(N(V133)=0,N(AP131)=0),0,(AQ133-AP131*(AQ132^2+AQ133^2))/((AQ132*AP131)^2+(AP131*AQ133-1)^2)))</f>
        <v/>
      </c>
      <c r="AQ133" s="155">
        <f>IF(N(V133)=0,10^30,V133)</f>
        <v>1E+30</v>
      </c>
      <c r="AR133" s="153" t="str">
        <f>IF(AB130="","",IF(AB130="600V IV",VLOOKUP(AB132,ＩＶ,3,FALSE),IF(AB130="600V CV-T",VLOOKUP(AB132,ＣＶＴ,3,FALSE),IF(OR(AB130="600V CV-1C",AB130="600V CV-2C",AB130="600V CV-3C",AB130="600V CV-4C"),VLOOKUP(AB132,ＣＶ２３Ｃ,3,FALSE),VLOOKUP(AB132,ＣＵＳＥＲ,3,FALSE)))))</f>
        <v/>
      </c>
      <c r="AS133" s="155" t="str">
        <f>IF(OR(AND(AS190="",AS191=""),AND(D130="",D190&lt;&gt;"")),AS131,(AS131*(AT190^2+AT191^2)+AT191*(AS130^2+AS131^2))/((AS130+AT190)^2+(AS131+AT191)^2))</f>
        <v/>
      </c>
      <c r="AT133" s="156" t="str">
        <f>IF(Z133="",AS133,N(AS133)+(Z133/1000))</f>
        <v/>
      </c>
      <c r="AU133" s="156" t="str">
        <f>IF(AU131="","",(AT133*(AU130^2+AU131^2)+AU131*(AT132^2+AT133^2))/((AT132+AU130)^2+(AT133+AU131)^2))</f>
        <v/>
      </c>
      <c r="AV133" s="156">
        <f>AV129+AV132</f>
        <v>11</v>
      </c>
      <c r="AW133" s="155" t="str">
        <f>IF(AO133="","",AW131+AO133)</f>
        <v/>
      </c>
      <c r="AX133" s="157"/>
      <c r="AY133" s="140">
        <f>IF(L132="",10^30,SQRT(BA130)*(BA132^2)*(N(AN131)+N(AN133)+N(AO131)+N(AV131))/(100000*L132*M130))</f>
        <v>1E+30</v>
      </c>
      <c r="AZ133" s="141"/>
      <c r="BA133" s="114">
        <f>IF(AND(F132="",SUM(S130:S133)&lt;&gt;0),BA129,F132)</f>
        <v>0</v>
      </c>
      <c r="BB133" s="115">
        <f>IF(AND(BA130=3,S133&lt;&gt;""),1,0)</f>
        <v>0</v>
      </c>
      <c r="BC133" s="52"/>
      <c r="BD133" s="52"/>
      <c r="BH133" s="162"/>
      <c r="BI133" s="162"/>
      <c r="BJ133" s="4"/>
      <c r="BK133" s="4"/>
    </row>
    <row r="134" spans="1:63" ht="15" customHeight="1" x14ac:dyDescent="0.15">
      <c r="A134" s="159"/>
      <c r="B134" s="159"/>
      <c r="C134" s="245" t="str">
        <f>IF(BH134=1,"●","・")</f>
        <v>・</v>
      </c>
      <c r="D134" s="425"/>
      <c r="E134" s="447"/>
      <c r="F134" s="427"/>
      <c r="G134" s="240" t="str">
        <f>IF(F134="","","φ")</f>
        <v/>
      </c>
      <c r="H134" s="428"/>
      <c r="I134" s="240" t="str">
        <f>IF(H134="","","W")</f>
        <v/>
      </c>
      <c r="J134" s="428"/>
      <c r="K134" s="246" t="str">
        <f>IF(J134="","","V")</f>
        <v/>
      </c>
      <c r="L134" s="429"/>
      <c r="M134" s="430"/>
      <c r="N134" s="431"/>
      <c r="O134" s="164"/>
      <c r="P134" s="194"/>
      <c r="Q134" s="165"/>
      <c r="R134" s="166"/>
      <c r="S134" s="167" t="str">
        <f>IF(R134="","",IF(Q134="",P134/R134,P134/(Q134*R134)))</f>
        <v/>
      </c>
      <c r="T134" s="168"/>
      <c r="U134" s="169" t="str">
        <f>IF(OR(BA136="",S134=""),"",S134*1000*T134/(SQRT(BA134)*BA136))</f>
        <v/>
      </c>
      <c r="V134" s="236" t="str">
        <f>IF(AND(N(U134)=0,N(U135)=0,N(U136)=0,N(U137)=0),"",BA136/(SUM(U134:U137)))</f>
        <v/>
      </c>
      <c r="W134" s="220"/>
      <c r="X134" s="222"/>
      <c r="Y134" s="223"/>
      <c r="Z134" s="224"/>
      <c r="AA134" s="228"/>
      <c r="AB134" s="230"/>
      <c r="AC134" s="223"/>
      <c r="AD134" s="224"/>
      <c r="AE134" s="232"/>
      <c r="AF134" s="104" t="str">
        <f>IF(OR(AND(AF130="",N(BA132)=0,BA136&lt;&gt;0),D134&lt;&gt;""),AX136/AQ135,"")</f>
        <v/>
      </c>
      <c r="AG134" s="234" t="str">
        <f>IF(BA136=0,"",IF(AD136="",AX134,IF(AND(D134&lt;&gt;"",AU134=""),AX136*SQRT(AP136^2+AP137^2)/SQRT(AS134^2+AS135^2)/AQ135,AX134*SQRT(AP136^2+AP137^2)/SQRT(AS134^2+AS135^2))))</f>
        <v/>
      </c>
      <c r="AH134" s="235"/>
      <c r="AI134" s="105" t="str">
        <f>IF(AG134="","",IF(N(U134)&lt;0,-AX134*AQ135/SQRT(AS134^2+AS135^2),AX134*AQ135/SQRT(AS134^2+AS135^2)))</f>
        <v/>
      </c>
      <c r="AJ134" s="201"/>
      <c r="AK134" s="202"/>
      <c r="AL134" s="106"/>
      <c r="AM134" s="59"/>
      <c r="AN134" s="107" t="b">
        <f>IF(BA134="","",IF(AND(BA134=1,F136=50,L134="油入自冷"),VLOOKUP(L136,変１,2,FALSE),IF(AND(BA134=1,F136=50,L134="モ－ルド絶縁"),VLOOKUP(L136,変１,7,FALSE),IF(AND(BA134=1,F136=60,L134="油入自冷"),VLOOKUP(L136,変１,12,FALSE),IF(AND(BA134=1,F136=60,L134="モ－ルド絶縁"),VLOOKUP(L136,変１,17,FALSE),FALSE)))))</f>
        <v>0</v>
      </c>
      <c r="AO134" s="107">
        <f>IF(ISNA(VLOOKUP(L136,変ＵＳＥＲ,2,FALSE)),0,VLOOKUP(L136,変ＵＳＥＲ,2,FALSE))</f>
        <v>0</v>
      </c>
      <c r="AP134" s="108">
        <f>IF(N134="",0,N134*1000/BA136^2/SQRT(BA134))</f>
        <v>0</v>
      </c>
      <c r="AQ134" s="107" t="b">
        <f>IF(BA134=1,2,IF(BA134=3,SQRT(3),FALSE))</f>
        <v>0</v>
      </c>
      <c r="AR134" s="109" t="str">
        <f>IF(X134="","",IF(X134="600V IV",VLOOKUP(X136,ＩＶ,2,FALSE),IF(X134="600V CV-T",VLOOKUP(X136,ＣＶＴ,2,FALSE),IF(OR(X134="600V CV-1C",X134="600V CV-2C",X134="600V CV-3C",X134="600V CV-4C"),VLOOKUP(X136,ＣＶ２３Ｃ,2,FALSE),VLOOKUP(X136,ＣＵＳＥＲ,2,FALSE)))))</f>
        <v/>
      </c>
      <c r="AS134" s="107" t="str">
        <f>IF(AB137="",AP136,AP136+(AB137/1000))</f>
        <v/>
      </c>
      <c r="AT134" s="110" t="str">
        <f>IF(AU136="",AT136,AU136)</f>
        <v/>
      </c>
      <c r="AU134" s="110" t="str">
        <f>IF(D134="","",IF(AND(D194="",D198&lt;&gt;"",AV137=AV201),AT198,IF(AND(D194="",D198="",D202&lt;&gt;"",AV197=AV205),AT202,IF(AND(D194="",D198="",D202="",D206&lt;&gt;"",AV201=AV209),AT206,IF(AND(D194="",D198="",D202="",D206="",D210&lt;&gt;"",AV205=AV213),AT210,IF(AND(D194="",D198="",D202="",D206="",D210="",D214&lt;&gt;"",AV209=AV217),AT214,IF(AND(D194="",D198="",D202="",D206="",D210="",D214="",D218&lt;&gt;"",AV213=AV221),AT218,"")))))))</f>
        <v/>
      </c>
      <c r="AV134" s="110" t="str">
        <f>IF(L134="発電機",IF(ISNA(VLOOKUP(L136,ＡＣＧ,2,FALSE)),0,VLOOKUP(L136,ＡＣＧ,2,FALSE)),"")</f>
        <v/>
      </c>
      <c r="AW134" s="111" t="str">
        <f>IF(AT134="","",AT134/((AT134*AP134)^2+(AT135*AP134-1)^2))</f>
        <v/>
      </c>
      <c r="AX134" s="112" t="str">
        <f>IF(BA136=0,"",IF(OR(AX130="",AF134&lt;&gt;""),AF134*SQRT(AS136^2+AS137^2)/SQRT(AT136^2+AT137^2),AX130*SQRT(AS136^2+AS137^2)/SQRT(AT136^2+AT137^2)))</f>
        <v/>
      </c>
      <c r="AY134" s="113">
        <f>IF(N(AY136)=10^30,10^30,IF(N(AY196)=10^30,(N(AY136)*(N(AY196)^2+N(AY197)^2)+N(AY196)*(N(AY136)^2+N(AY137)^2))/((N(AY136)+N(AY196))^2+(N(AY137)+N(AY197))^2),(N(AY136)*(N(AY194)^2+N(AY195)^2)+N(AY194)*(N(AY136)^2+N(AY137)^2))/((N(AY136)+N(AY194))^2+(N(AY137)+N(AY195))^2)))</f>
        <v>1E+30</v>
      </c>
      <c r="AZ134" s="52"/>
      <c r="BA134" s="114">
        <f>IF(AND(F134="",SUM(S134:S137)&lt;&gt;0),BA130,F134)</f>
        <v>0</v>
      </c>
      <c r="BB134" s="115">
        <f>IF(AND(BA134=3,S134&lt;&gt;""),1,0)</f>
        <v>0</v>
      </c>
      <c r="BC134" s="52"/>
      <c r="BD134" s="52"/>
      <c r="BH134" s="162">
        <f>IF(OR(E134="",F137="",AND(OR(P134="",Q134="",R134="",T134=""),OR(P135="",Q135="",R135="",T135=""),OR(P136="",Q136="",R136="",T136=""),OR(P137="",Q137="",R137="",T137="")),AND(OR(X134="",X136="",Y136="",Z136=""),OR(AB134="",AB136="",AC136="",AD136=""))),0,1)</f>
        <v>0</v>
      </c>
      <c r="BI134" s="162">
        <f>BH134+BI130</f>
        <v>4</v>
      </c>
      <c r="BJ134" s="4"/>
      <c r="BK134" s="4"/>
    </row>
    <row r="135" spans="1:63" ht="15" customHeight="1" x14ac:dyDescent="0.15">
      <c r="A135" s="159"/>
      <c r="B135" s="159"/>
      <c r="C135" s="245"/>
      <c r="D135" s="432"/>
      <c r="E135" s="448"/>
      <c r="F135" s="434"/>
      <c r="G135" s="241"/>
      <c r="H135" s="435"/>
      <c r="I135" s="241"/>
      <c r="J135" s="435"/>
      <c r="K135" s="247"/>
      <c r="L135" s="436"/>
      <c r="M135" s="170" t="str">
        <f>IF(L134="発電機",SQRT(AV134^2+AV135^2),IF(L136="","",IF(OR(L134="油入自冷",L134="モ－ルド絶縁"),IF(BA134=1,SQRT(AN134^2+AN135^2),IF(BA134=3,SQRT(AN136^2+AN137^2))),SQRT(AO134^2+AO135^2))))</f>
        <v/>
      </c>
      <c r="N135" s="437"/>
      <c r="O135" s="171"/>
      <c r="P135" s="195"/>
      <c r="Q135" s="172"/>
      <c r="R135" s="173"/>
      <c r="S135" s="174" t="str">
        <f t="shared" si="5"/>
        <v/>
      </c>
      <c r="T135" s="175"/>
      <c r="U135" s="176" t="str">
        <f>IF(OR(BA136="",S135=""),"",S135*1000*T135/(SQRT(BA134)*BA136))</f>
        <v/>
      </c>
      <c r="V135" s="237"/>
      <c r="W135" s="221"/>
      <c r="X135" s="225"/>
      <c r="Y135" s="226"/>
      <c r="Z135" s="227"/>
      <c r="AA135" s="229"/>
      <c r="AB135" s="231"/>
      <c r="AC135" s="226"/>
      <c r="AD135" s="227"/>
      <c r="AE135" s="233"/>
      <c r="AF135" s="124" t="str">
        <f>IF(OR(AF134="",AG130&lt;&gt;""),"",AF134*AQ135/SQRT(AT134^2+AT135^2))</f>
        <v/>
      </c>
      <c r="AG135" s="205" t="str">
        <f>IF(AG134="","",100*AG134*AQ135/BA136)</f>
        <v/>
      </c>
      <c r="AH135" s="206"/>
      <c r="AI135" s="207" t="str">
        <f>IF(BA136=0,"",IF(AI130="",AX136/SQRT(AT134^2+AT135^2),IF(AI138="","",IF(AT134&lt;0,-AX134*AQ131/SQRT(AT134^2+AT135^2),AX134*AQ131/SQRT(AT134^2+AT135^2)))))</f>
        <v/>
      </c>
      <c r="AJ135" s="203"/>
      <c r="AK135" s="204"/>
      <c r="AL135" s="125"/>
      <c r="AM135" s="59"/>
      <c r="AN135" s="107" t="b">
        <f>IF(BA134="","",IF(AND(BA134=1,F136=50,L134="油入自冷"),VLOOKUP(L136,変１,3,FALSE),IF(AND(BA134=1,F136=50,L134="モ－ルド絶縁"),VLOOKUP(L136,変１,8,FALSE),IF(AND(BA134=1,F136=60,L134="油入自冷"),VLOOKUP(L136,変１,13,FALSE),IF(AND(BA134=1,F136=60,L134="モ－ルド絶縁"),VLOOKUP(L136,変１,18,FALSE),FALSE)))))</f>
        <v>0</v>
      </c>
      <c r="AO135" s="107">
        <f>IF(ISNA(VLOOKUP(L136,変ＵＳＥＲ,3,FALSE)),0,VLOOKUP(L136,変ＵＳＥＲ,3,FALSE)*BA137/50)</f>
        <v>0</v>
      </c>
      <c r="AP135" s="108">
        <f>IF(W134="",0,W134*1000/BA136^2/SQRT(BA134))</f>
        <v>0</v>
      </c>
      <c r="AQ135" s="107">
        <f>IF(AND(BA134=1,BA135=2),1,IF(AND(BA134=3,BA135=3),1,IF(AND(BA134=1,BA135=3),2,IF(AND(BA134=3,BA135=4)*OR(BB134=1,BB135=1,BB136=1,BB137=1),1,SQRT(3)))))</f>
        <v>1.7320508075688772</v>
      </c>
      <c r="AR135" s="109" t="str">
        <f>IF(X134="","",IF(X134="600V IV",VLOOKUP(X136,ＩＶ,3,FALSE),IF(X134="600V CV-T",VLOOKUP(X136,ＣＶＴ,3,FALSE),IF(OR(X134="600V CV-1C",X134="600V CV-2C",X134="600V CV-3C",X134="600V CV-4C"),VLOOKUP(X136,ＣＶ２３Ｃ,3,FALSE),VLOOKUP(X136,ＣＵＳＥＲ,3,FALSE)))))</f>
        <v/>
      </c>
      <c r="AS135" s="107" t="str">
        <f>IF(AD137="",AP137,AP137+(AD137/1000))</f>
        <v/>
      </c>
      <c r="AT135" s="110" t="str">
        <f>IF(AU137="",AT137,AU137)</f>
        <v/>
      </c>
      <c r="AU135" s="110" t="str">
        <f>IF(D134="","",IF(AND(D194="",D198&lt;&gt;"",AV137=AV201),AT199,IF(AND(D194="",D198="",D202&lt;&gt;"",AV197=AV205),AT203,IF(AND(D194="",D198="",D202="",D206&lt;&gt;"",AV201=AV209),AT207,IF(AND(D194="",D198="",D202="",D206="",D210&lt;&gt;"",AV205=AV213),AT211,IF(AND(D194="",D198="",D202="",D206="",D210="",D214&lt;&gt;"",AV209=AV217),AT215,IF(AND(D194="",D198="",D202="",D206="",D210="",D214="",D218&lt;&gt;"",AV213=AV221),AT219,"")))))))</f>
        <v/>
      </c>
      <c r="AV135" s="109" t="str">
        <f>IF(L134="発電機",IF(ISNA(VLOOKUP(L136,ＡＣＧ,3,FALSE)),0,VLOOKUP(L136,ＡＣＧ,3,FALSE)*BA137/50),"")</f>
        <v/>
      </c>
      <c r="AW135" s="111" t="str">
        <f>IF(AT135="","",(AT135-AP134*(AT134^2+AT135^2))/((AT134*AP134)^2+(AP134*AT135-1)^2))</f>
        <v/>
      </c>
      <c r="AX135" s="112"/>
      <c r="AY135" s="113">
        <f>IF(N(AY137)=10^30,10^30,IF(N(AY197)=10^30,(N(AY137)*(N(AY196)^2+N(AY197)^2)+N(AY197)*(N(AY136)^2+N(AY137)^2))/((N(AY136)+N(AY196))^2+(N(AY137)+N(AY197))^2),(N(AY137)*(N(AY194)^2+N(AY195)^2)+N(AY195)*(N(AY136)^2+N(AY137)^2))/((N(AY136)+N(AY194))^2+(N(AY137)+N(AY195))^2)))</f>
        <v>1E+30</v>
      </c>
      <c r="AZ135" s="52"/>
      <c r="BA135" s="114">
        <f>IF(AND(H134="",SUM(S134:S137)&lt;&gt;0),BA131,H134)</f>
        <v>0</v>
      </c>
      <c r="BB135" s="115">
        <f>IF(AND(BA134=3,S135&lt;&gt;""),1,0)</f>
        <v>0</v>
      </c>
      <c r="BC135" s="52"/>
      <c r="BD135" s="52"/>
      <c r="BH135" s="162"/>
      <c r="BI135" s="162"/>
      <c r="BJ135" s="4"/>
      <c r="BK135" s="4"/>
    </row>
    <row r="136" spans="1:63" ht="15" customHeight="1" x14ac:dyDescent="0.15">
      <c r="A136" s="159"/>
      <c r="B136" s="159"/>
      <c r="C136" s="245"/>
      <c r="D136" s="432"/>
      <c r="E136" s="448"/>
      <c r="F136" s="438"/>
      <c r="G136" s="438"/>
      <c r="H136" s="438"/>
      <c r="I136" s="438"/>
      <c r="J136" s="438"/>
      <c r="K136" s="439"/>
      <c r="L136" s="440"/>
      <c r="M136" s="441"/>
      <c r="N136" s="437"/>
      <c r="O136" s="171"/>
      <c r="P136" s="196"/>
      <c r="Q136" s="177"/>
      <c r="R136" s="173"/>
      <c r="S136" s="174" t="str">
        <f t="shared" si="5"/>
        <v/>
      </c>
      <c r="T136" s="175"/>
      <c r="U136" s="178" t="str">
        <f>IF(OR(BA136="",S136=""),"",S136*1000*T136/(SQRT(BA134)*BA136))</f>
        <v/>
      </c>
      <c r="V136" s="179" t="str">
        <f>IF(AND(N(U134)=0,N(U135)=0,N(U136)=0,N(U137)=0),"",V134*(P134*R134*T134+P135*R135*T135+P136*R136*T136+P137*R137*T137)/(P134*T134+P135*T135+P136*T136+P137*T137))</f>
        <v/>
      </c>
      <c r="W136" s="209" t="str">
        <f>IF(AND(N(AP136)=0,N(AP137)=0,N(AP135)=0),"",IF(AP137&gt;=0,COS(ATAN(AP137/AP136)),-COS(ATAN(AP137/AP136))))</f>
        <v/>
      </c>
      <c r="X136" s="180"/>
      <c r="Y136" s="181"/>
      <c r="Z136" s="182"/>
      <c r="AA136" s="183"/>
      <c r="AB136" s="184"/>
      <c r="AC136" s="181"/>
      <c r="AD136" s="182"/>
      <c r="AE136" s="185"/>
      <c r="AF136" s="136" t="str">
        <f>IF(OR(AF134="",AG130&lt;&gt;""),"",BA136/SQRT(AW136^2+AW137^2))</f>
        <v/>
      </c>
      <c r="AG136" s="205" t="str">
        <f>IF(AG134="","",100*((BA136/AQ135)-AG134)/(BA136/AQ135))</f>
        <v/>
      </c>
      <c r="AH136" s="206"/>
      <c r="AI136" s="208"/>
      <c r="AJ136" s="211"/>
      <c r="AK136" s="213"/>
      <c r="AL136" s="137"/>
      <c r="AM136" s="59"/>
      <c r="AN136" s="138" t="b">
        <f>IF(BA134="","",IF(AND(BA134=3,F136=50,L134="油入自冷"),VLOOKUP(L136,変３,2,FALSE),IF(AND(BA134=3,F136=50,L134="モ－ルド絶縁"),VLOOKUP(L136,変３,7,FALSE),IF(AND(BA134=3,F136=60,L134="油入自冷"),VLOOKUP(L136,変３,12,FALSE),IF(AND(BA134=3,F136=60,L134="モ－ルド絶縁"),VLOOKUP(L136,変３,17,FALSE),FALSE)))))</f>
        <v>0</v>
      </c>
      <c r="AO136" s="109" t="str">
        <f>IF(AND(L130="",N(AY134)&lt;10^29),AY134,"")</f>
        <v/>
      </c>
      <c r="AP136" s="139" t="str">
        <f>IF(V134="","",IF(AND(N(V136)=0,N(AP135)=0),"",AQ136/((AQ136*AP135)^2+(AP135*AQ137-1)^2)))</f>
        <v/>
      </c>
      <c r="AQ136" s="107">
        <f>IF(N(V136)=0,10^30,V136)</f>
        <v>1E+30</v>
      </c>
      <c r="AR136" s="109" t="str">
        <f>IF(AB134="","",IF(AB134="600V IV",VLOOKUP(AB136,ＩＶ,2,FALSE),IF(AB134="600V CV-T",VLOOKUP(AB136,ＣＶＴ,2,FALSE),IF(OR(AB134="600V CV-1C",AB134="600V CV-2C",AB134="600V CV-3C",AB134="600V CV-4C"),VLOOKUP(AB136,ＣＶ２３Ｃ,2,FALSE),VLOOKUP(AB136,ＣＵＳＥＲ,2,FALSE)))))</f>
        <v/>
      </c>
      <c r="AS136" s="107" t="str">
        <f>IF(OR(AND(AS194="",AS195=""),AND(D134="",D194&lt;&gt;"")),AS134,(AS134*(AT194^2+AT195^2)+AT194*(AS134^2+AS135^2))/((AS134+AT194)^2+(AS135+AT195)^2))</f>
        <v/>
      </c>
      <c r="AT136" s="110" t="str">
        <f>IF(X137="",AS136,N(AS136)+(X137/1000))</f>
        <v/>
      </c>
      <c r="AU136" s="110" t="str">
        <f>IF(AU134="","",(AT136*(AU134^2+AU135^2)+AU134*(AT136^2+AT137^2))/((AT136+AU134)^2+(AT137+AU135)^2))</f>
        <v/>
      </c>
      <c r="AV136" s="110">
        <f>IF(BA136=0,1,0)</f>
        <v>1</v>
      </c>
      <c r="AW136" s="111" t="str">
        <f>IF(AO136="","",AW134+AO136)</f>
        <v/>
      </c>
      <c r="AX136" s="112" t="str">
        <f>IF(AND(AX132="",AW136&lt;&gt;""),BA136*SQRT(AW134^2+AW135^2)/SQRT(AW136^2+AW137^2),IF(BA136&lt;&gt;0,AX132,""))</f>
        <v/>
      </c>
      <c r="AY136" s="140">
        <f>IF(L136="",10^30,SQRT(BA134)*(BA136^2)*(N(AN134)+N(AN136)+N(AO134)+N(AV134))/(100000*L136*M134))</f>
        <v>1E+30</v>
      </c>
      <c r="AZ136" s="141"/>
      <c r="BA136" s="114">
        <f>IF(AND(J134="",SUM(S134:S137)&lt;&gt;0),BA132,J134)</f>
        <v>0</v>
      </c>
      <c r="BB136" s="115">
        <f>IF(AND(BA134=3,S136&lt;&gt;""),1,0)</f>
        <v>0</v>
      </c>
      <c r="BC136" s="52"/>
      <c r="BD136" s="52"/>
      <c r="BH136" s="162"/>
      <c r="BI136" s="162"/>
      <c r="BJ136" s="4"/>
      <c r="BK136" s="4"/>
    </row>
    <row r="137" spans="1:63" ht="15" customHeight="1" x14ac:dyDescent="0.15">
      <c r="A137" s="159"/>
      <c r="B137" s="159"/>
      <c r="C137" s="245"/>
      <c r="D137" s="442"/>
      <c r="E137" s="449"/>
      <c r="F137" s="444"/>
      <c r="G137" s="444"/>
      <c r="H137" s="444"/>
      <c r="I137" s="444"/>
      <c r="J137" s="444"/>
      <c r="K137" s="445"/>
      <c r="L137" s="238" t="str">
        <f>IF(M134="","",L136*1000*M134/(SQRT(BA134)*BA136))</f>
        <v/>
      </c>
      <c r="M137" s="239"/>
      <c r="N137" s="446"/>
      <c r="O137" s="186"/>
      <c r="P137" s="197"/>
      <c r="Q137" s="187"/>
      <c r="R137" s="188"/>
      <c r="S137" s="189" t="str">
        <f t="shared" si="5"/>
        <v/>
      </c>
      <c r="T137" s="190"/>
      <c r="U137" s="191" t="str">
        <f>IF(OR(BA136="",S137=""),"",S137*1000*T137/(SQRT(BA134)*BA136))</f>
        <v/>
      </c>
      <c r="V137" s="192" t="str">
        <f>IF(AND(N(U134)=0,N(U135)=0,N(U136)=0,N(U137)=0),"",IF(V134&gt;=0,SQRT(ABS(V134^2-V136^2)),-SQRT(V134^2-V136^2)))</f>
        <v/>
      </c>
      <c r="W137" s="210"/>
      <c r="X137" s="215" t="str">
        <f>IF(Y136="","",AQ134*Z136*AR134*((1+0.00393*(F137-20))/1.2751)/Y136)</f>
        <v/>
      </c>
      <c r="Y137" s="216"/>
      <c r="Z137" s="217" t="str">
        <f>IF(Y136="","",(BA137/50)*AQ134*Z136*AR135/Y136)</f>
        <v/>
      </c>
      <c r="AA137" s="218"/>
      <c r="AB137" s="219" t="str">
        <f>IF(AC136="","",AQ134*AD136*AR136*((1+0.00393*(F137-20))/1.2751)/AC136)</f>
        <v/>
      </c>
      <c r="AC137" s="216"/>
      <c r="AD137" s="217" t="str">
        <f>IF(AC136="","",(BA137/50)*AQ134*AD136*AR137/AC136)</f>
        <v/>
      </c>
      <c r="AE137" s="242"/>
      <c r="AF137" s="150" t="str">
        <f>IF(AND(AX134&lt;&gt;"",D134=""),AX134,"")</f>
        <v/>
      </c>
      <c r="AG137" s="243" t="str">
        <f>IF(AP136="","",AP136)</f>
        <v/>
      </c>
      <c r="AH137" s="244"/>
      <c r="AI137" s="151" t="str">
        <f>IF(AP137="","",AP137)</f>
        <v/>
      </c>
      <c r="AJ137" s="212"/>
      <c r="AK137" s="214"/>
      <c r="AL137" s="152"/>
      <c r="AM137" s="59"/>
      <c r="AN137" s="153" t="b">
        <f>IF(BA134="","",IF(AND(BA134=3,F136=50,L134="油入自冷"),VLOOKUP(L136,変３,3,FALSE),IF(AND(BA134=3,F136=50,L134="モ－ルド絶縁"),VLOOKUP(L136,変３,8,FALSE),IF(AND(BA134=3,F136=60,L134="油入自冷"),VLOOKUP(L136,変３,13,FALSE),IF(AND(BA134=3,F136=60,L134="モ－ルド絶縁"),VLOOKUP(L136,変３,18,FALSE),FALSE)))))</f>
        <v>0</v>
      </c>
      <c r="AO137" s="153" t="str">
        <f>IF(AND(L130="",N(AY135)&lt;10^29),AY135,"")</f>
        <v/>
      </c>
      <c r="AP137" s="154" t="str">
        <f>IF(V134="","",IF(AND(N(V137)=0,N(AP135)=0),0,(AQ137-AP135*(AQ136^2+AQ137^2))/((AQ136*AP135)^2+(AP135*AQ137-1)^2)))</f>
        <v/>
      </c>
      <c r="AQ137" s="155">
        <f>IF(N(V137)=0,10^30,V137)</f>
        <v>1E+30</v>
      </c>
      <c r="AR137" s="153" t="str">
        <f>IF(AB134="","",IF(AB134="600V IV",VLOOKUP(AB136,ＩＶ,3,FALSE),IF(AB134="600V CV-T",VLOOKUP(AB136,ＣＶＴ,3,FALSE),IF(OR(AB134="600V CV-1C",AB134="600V CV-2C",AB134="600V CV-3C",AB134="600V CV-4C"),VLOOKUP(AB136,ＣＶ２３Ｃ,3,FALSE),VLOOKUP(AB136,ＣＵＳＥＲ,3,FALSE)))))</f>
        <v/>
      </c>
      <c r="AS137" s="155" t="str">
        <f>IF(OR(AND(AS194="",AS195=""),AND(D134="",D194&lt;&gt;"")),AS135,(AS135*(AT194^2+AT195^2)+AT195*(AS134^2+AS135^2))/((AS134+AT194)^2+(AS135+AT195)^2))</f>
        <v/>
      </c>
      <c r="AT137" s="156" t="str">
        <f>IF(Z137="",AS137,N(AS137)+(Z137/1000))</f>
        <v/>
      </c>
      <c r="AU137" s="156" t="str">
        <f>IF(AU135="","",(AT137*(AU134^2+AU135^2)+AU135*(AT136^2+AT137^2))/((AT136+AU134)^2+(AT137+AU135)^2))</f>
        <v/>
      </c>
      <c r="AV137" s="156">
        <f>AV133+AV136</f>
        <v>12</v>
      </c>
      <c r="AW137" s="155" t="str">
        <f>IF(AO137="","",AW135+AO137)</f>
        <v/>
      </c>
      <c r="AX137" s="157"/>
      <c r="AY137" s="140">
        <f>IF(L136="",10^30,SQRT(BA134)*(BA136^2)*(N(AN135)+N(AN137)+N(AO135)+N(AV135))/(100000*L136*M134))</f>
        <v>1E+30</v>
      </c>
      <c r="AZ137" s="141"/>
      <c r="BA137" s="114">
        <f>IF(AND(F136="",SUM(S134:S137)&lt;&gt;0),BA133,F136)</f>
        <v>0</v>
      </c>
      <c r="BB137" s="115">
        <f>IF(AND(BA134=3,S137&lt;&gt;""),1,0)</f>
        <v>0</v>
      </c>
      <c r="BC137" s="52"/>
      <c r="BD137" s="52"/>
      <c r="BH137" s="162"/>
      <c r="BI137" s="162"/>
      <c r="BJ137" s="4"/>
      <c r="BK137" s="4"/>
    </row>
    <row r="138" spans="1:63" ht="15" customHeight="1" x14ac:dyDescent="0.15">
      <c r="A138" s="159"/>
      <c r="B138" s="159"/>
      <c r="C138" s="245" t="str">
        <f>IF(BH138=1,"●","・")</f>
        <v>・</v>
      </c>
      <c r="D138" s="425"/>
      <c r="E138" s="447"/>
      <c r="F138" s="427"/>
      <c r="G138" s="240" t="str">
        <f>IF(F138="","","φ")</f>
        <v/>
      </c>
      <c r="H138" s="428"/>
      <c r="I138" s="240" t="str">
        <f>IF(H138="","","W")</f>
        <v/>
      </c>
      <c r="J138" s="428"/>
      <c r="K138" s="246" t="str">
        <f>IF(J138="","","V")</f>
        <v/>
      </c>
      <c r="L138" s="429"/>
      <c r="M138" s="430"/>
      <c r="N138" s="431"/>
      <c r="O138" s="164"/>
      <c r="P138" s="194"/>
      <c r="Q138" s="165"/>
      <c r="R138" s="166"/>
      <c r="S138" s="167" t="str">
        <f>IF(R138="","",IF(Q138="",P138/R138,P138/(Q138*R138)))</f>
        <v/>
      </c>
      <c r="T138" s="168"/>
      <c r="U138" s="169" t="str">
        <f>IF(OR(BA140="",S138=""),"",S138*1000*T138/(SQRT(BA138)*BA140))</f>
        <v/>
      </c>
      <c r="V138" s="236" t="str">
        <f>IF(AND(N(U138)=0,N(U139)=0,N(U140)=0,N(U141)=0),"",BA140/(SUM(U138:U141)))</f>
        <v/>
      </c>
      <c r="W138" s="220"/>
      <c r="X138" s="222"/>
      <c r="Y138" s="223"/>
      <c r="Z138" s="224"/>
      <c r="AA138" s="228"/>
      <c r="AB138" s="230"/>
      <c r="AC138" s="223"/>
      <c r="AD138" s="224"/>
      <c r="AE138" s="232"/>
      <c r="AF138" s="104" t="str">
        <f>IF(OR(AND(AF134="",N(BA136)=0,BA140&lt;&gt;0),D138&lt;&gt;""),AX140/AQ139,"")</f>
        <v/>
      </c>
      <c r="AG138" s="234" t="str">
        <f>IF(BA140=0,"",IF(AD140="",AX138,IF(AND(D138&lt;&gt;"",AU138=""),AX140*SQRT(AP140^2+AP141^2)/SQRT(AS138^2+AS139^2)/AQ139,AX138*SQRT(AP140^2+AP141^2)/SQRT(AS138^2+AS139^2))))</f>
        <v/>
      </c>
      <c r="AH138" s="235"/>
      <c r="AI138" s="105" t="str">
        <f>IF(AG138="","",IF(N(U138)&lt;0,-AX138*AQ139/SQRT(AS138^2+AS139^2),AX138*AQ139/SQRT(AS138^2+AS139^2)))</f>
        <v/>
      </c>
      <c r="AJ138" s="201"/>
      <c r="AK138" s="202"/>
      <c r="AL138" s="106"/>
      <c r="AM138" s="59"/>
      <c r="AN138" s="107" t="b">
        <f>IF(BA138="","",IF(AND(BA138=1,F140=50,L138="油入自冷"),VLOOKUP(L140,変１,2,FALSE),IF(AND(BA138=1,F140=50,L138="モ－ルド絶縁"),VLOOKUP(L140,変１,7,FALSE),IF(AND(BA138=1,F140=60,L138="油入自冷"),VLOOKUP(L140,変１,12,FALSE),IF(AND(BA138=1,F140=60,L138="モ－ルド絶縁"),VLOOKUP(L140,変１,17,FALSE),FALSE)))))</f>
        <v>0</v>
      </c>
      <c r="AO138" s="107">
        <f>IF(ISNA(VLOOKUP(L140,変ＵＳＥＲ,2,FALSE)),0,VLOOKUP(L140,変ＵＳＥＲ,2,FALSE))</f>
        <v>0</v>
      </c>
      <c r="AP138" s="108">
        <f>IF(N138="",0,N138*1000/BA140^2/SQRT(BA138))</f>
        <v>0</v>
      </c>
      <c r="AQ138" s="107" t="b">
        <f>IF(BA138=1,2,IF(BA138=3,SQRT(3),FALSE))</f>
        <v>0</v>
      </c>
      <c r="AR138" s="109" t="str">
        <f>IF(X138="","",IF(X138="600V IV",VLOOKUP(X140,ＩＶ,2,FALSE),IF(X138="600V CV-T",VLOOKUP(X140,ＣＶＴ,2,FALSE),IF(OR(X138="600V CV-1C",X138="600V CV-2C",X138="600V CV-3C",X138="600V CV-4C"),VLOOKUP(X140,ＣＶ２３Ｃ,2,FALSE),VLOOKUP(X140,ＣＵＳＥＲ,2,FALSE)))))</f>
        <v/>
      </c>
      <c r="AS138" s="107" t="str">
        <f>IF(AB141="",AP140,AP140+(AB141/1000))</f>
        <v/>
      </c>
      <c r="AT138" s="110" t="str">
        <f>IF(AU140="",AT140,AU140)</f>
        <v/>
      </c>
      <c r="AU138" s="110" t="str">
        <f>IF(D138="","",IF(AND(D198="",D202&lt;&gt;"",AV141=AV205),AT202,IF(AND(D198="",D202="",D206&lt;&gt;"",AV201=AV209),AT206,IF(AND(D198="",D202="",D206="",D210&lt;&gt;"",AV205=AV213),AT210,IF(AND(D198="",D202="",D206="",D210="",D214&lt;&gt;"",AV209=AV217),AT214,IF(AND(D198="",D202="",D206="",D210="",D214="",D218&lt;&gt;"",AV213=AV221),AT218,IF(AND(D198="",D202="",D206="",D210="",D214="",D218="",D222&lt;&gt;"",AV217=AV225),AT222,"")))))))</f>
        <v/>
      </c>
      <c r="AV138" s="110" t="str">
        <f>IF(L138="発電機",IF(ISNA(VLOOKUP(L140,ＡＣＧ,2,FALSE)),0,VLOOKUP(L140,ＡＣＧ,2,FALSE)),"")</f>
        <v/>
      </c>
      <c r="AW138" s="111" t="str">
        <f>IF(AT138="","",AT138/((AT138*AP138)^2+(AT139*AP138-1)^2))</f>
        <v/>
      </c>
      <c r="AX138" s="112" t="str">
        <f>IF(BA140=0,"",IF(OR(AX134="",AF138&lt;&gt;""),AF138*SQRT(AS140^2+AS141^2)/SQRT(AT140^2+AT141^2),AX134*SQRT(AS140^2+AS141^2)/SQRT(AT140^2+AT141^2)))</f>
        <v/>
      </c>
      <c r="AY138" s="113">
        <f>IF(N(AY140)=10^30,10^30,IF(N(AY200)=10^30,(N(AY140)*(N(AY200)^2+N(AY201)^2)+N(AY200)*(N(AY140)^2+N(AY141)^2))/((N(AY140)+N(AY200))^2+(N(AY141)+N(AY201))^2),(N(AY140)*(N(AY198)^2+N(AY199)^2)+N(AY198)*(N(AY140)^2+N(AY141)^2))/((N(AY140)+N(AY198))^2+(N(AY141)+N(AY199))^2)))</f>
        <v>1E+30</v>
      </c>
      <c r="AZ138" s="52"/>
      <c r="BA138" s="114">
        <f>IF(AND(F138="",SUM(S138:S141)&lt;&gt;0),BA134,F138)</f>
        <v>0</v>
      </c>
      <c r="BB138" s="115">
        <f>IF(AND(BA138=3,S138&lt;&gt;""),1,0)</f>
        <v>0</v>
      </c>
      <c r="BC138" s="52"/>
      <c r="BD138" s="52"/>
      <c r="BH138" s="162">
        <f>IF(OR(E138="",F141="",AND(OR(P138="",Q138="",R138="",T138=""),OR(P139="",Q139="",R139="",T139=""),OR(P140="",Q140="",R140="",T140=""),OR(P141="",Q141="",R141="",T141="")),AND(OR(X138="",X140="",Y140="",Z140=""),OR(AB138="",AB140="",AC140="",AD140=""))),0,1)</f>
        <v>0</v>
      </c>
      <c r="BI138" s="162">
        <f>BH138+BI134</f>
        <v>4</v>
      </c>
      <c r="BJ138" s="4"/>
      <c r="BK138" s="4"/>
    </row>
    <row r="139" spans="1:63" ht="15" customHeight="1" x14ac:dyDescent="0.15">
      <c r="A139" s="159"/>
      <c r="B139" s="159"/>
      <c r="C139" s="245"/>
      <c r="D139" s="432"/>
      <c r="E139" s="448"/>
      <c r="F139" s="434"/>
      <c r="G139" s="241"/>
      <c r="H139" s="435"/>
      <c r="I139" s="241"/>
      <c r="J139" s="435"/>
      <c r="K139" s="247"/>
      <c r="L139" s="436"/>
      <c r="M139" s="170" t="str">
        <f>IF(L138="発電機",SQRT(AV138^2+AV139^2),IF(L140="","",IF(OR(L138="油入自冷",L138="モ－ルド絶縁"),IF(BA138=1,SQRT(AN138^2+AN139^2),IF(BA138=3,SQRT(AN140^2+AN141^2))),SQRT(AO138^2+AO139^2))))</f>
        <v/>
      </c>
      <c r="N139" s="437"/>
      <c r="O139" s="171"/>
      <c r="P139" s="195"/>
      <c r="Q139" s="172"/>
      <c r="R139" s="173"/>
      <c r="S139" s="174" t="str">
        <f t="shared" ref="S139:S157" si="6">IF(R139="","",IF(Q139="",P139/R139,P139/(Q139*R139)))</f>
        <v/>
      </c>
      <c r="T139" s="175"/>
      <c r="U139" s="176" t="str">
        <f>IF(OR(BA140="",S139=""),"",S139*1000*T139/(SQRT(BA138)*BA140))</f>
        <v/>
      </c>
      <c r="V139" s="237"/>
      <c r="W139" s="221"/>
      <c r="X139" s="225"/>
      <c r="Y139" s="226"/>
      <c r="Z139" s="227"/>
      <c r="AA139" s="229"/>
      <c r="AB139" s="231"/>
      <c r="AC139" s="226"/>
      <c r="AD139" s="227"/>
      <c r="AE139" s="233"/>
      <c r="AF139" s="124" t="str">
        <f>IF(OR(AF138="",AG134&lt;&gt;""),"",AF138*AQ139/SQRT(AT138^2+AT139^2))</f>
        <v/>
      </c>
      <c r="AG139" s="205" t="str">
        <f>IF(AG138="","",100*AG138*AQ139/BA140)</f>
        <v/>
      </c>
      <c r="AH139" s="206"/>
      <c r="AI139" s="207" t="str">
        <f>IF(BA140=0,"",IF(AI134="",AX140/SQRT(AT138^2+AT139^2),IF(AI142="","",IF(AT138&lt;0,-AX138*AQ135/SQRT(AT138^2+AT139^2),AX138*AQ135/SQRT(AT138^2+AT139^2)))))</f>
        <v/>
      </c>
      <c r="AJ139" s="203"/>
      <c r="AK139" s="204"/>
      <c r="AL139" s="125"/>
      <c r="AM139" s="59"/>
      <c r="AN139" s="107" t="b">
        <f>IF(BA138="","",IF(AND(BA138=1,F140=50,L138="油入自冷"),VLOOKUP(L140,変１,3,FALSE),IF(AND(BA138=1,F140=50,L138="モ－ルド絶縁"),VLOOKUP(L140,変１,8,FALSE),IF(AND(BA138=1,F140=60,L138="油入自冷"),VLOOKUP(L140,変１,13,FALSE),IF(AND(BA138=1,F140=60,L138="モ－ルド絶縁"),VLOOKUP(L140,変１,18,FALSE),FALSE)))))</f>
        <v>0</v>
      </c>
      <c r="AO139" s="107">
        <f>IF(ISNA(VLOOKUP(L140,変ＵＳＥＲ,3,FALSE)),0,VLOOKUP(L140,変ＵＳＥＲ,3,FALSE)*BA141/50)</f>
        <v>0</v>
      </c>
      <c r="AP139" s="108">
        <f>IF(W138="",0,W138*1000/BA140^2/SQRT(BA138))</f>
        <v>0</v>
      </c>
      <c r="AQ139" s="107">
        <f>IF(AND(BA138=1,BA139=2),1,IF(AND(BA138=3,BA139=3),1,IF(AND(BA138=1,BA139=3),2,IF(AND(BA138=3,BA139=4)*OR(BB138=1,BB139=1,BB140=1,BB141=1),1,SQRT(3)))))</f>
        <v>1.7320508075688772</v>
      </c>
      <c r="AR139" s="109" t="str">
        <f>IF(X138="","",IF(X138="600V IV",VLOOKUP(X140,ＩＶ,3,FALSE),IF(X138="600V CV-T",VLOOKUP(X140,ＣＶＴ,3,FALSE),IF(OR(X138="600V CV-1C",X138="600V CV-2C",X138="600V CV-3C",X138="600V CV-4C"),VLOOKUP(X140,ＣＶ２３Ｃ,3,FALSE),VLOOKUP(X140,ＣＵＳＥＲ,3,FALSE)))))</f>
        <v/>
      </c>
      <c r="AS139" s="107" t="str">
        <f>IF(AD141="",AP141,AP141+(AD141/1000))</f>
        <v/>
      </c>
      <c r="AT139" s="110" t="str">
        <f>IF(AU141="",AT141,AU141)</f>
        <v/>
      </c>
      <c r="AU139" s="110" t="str">
        <f>IF(D138="","",IF(AND(D198="",D202&lt;&gt;"",AV141=AV205),AT203,IF(AND(D198="",D202="",D206&lt;&gt;"",AV201=AV209),AT207,IF(AND(D198="",D202="",D206="",D210&lt;&gt;"",AV205=AV213),AT211,IF(AND(D198="",D202="",D206="",D210="",D214&lt;&gt;"",AV209=AV217),AT215,IF(AND(D198="",D202="",D206="",D210="",D214="",D218&lt;&gt;"",AV213=AV221),AT219,IF(AND(D198="",D202="",D206="",D210="",D214="",D218="",D222&lt;&gt;"",AV217=AV225),AT223,"")))))))</f>
        <v/>
      </c>
      <c r="AV139" s="109" t="str">
        <f>IF(L138="発電機",IF(ISNA(VLOOKUP(L140,ＡＣＧ,3,FALSE)),0,VLOOKUP(L140,ＡＣＧ,3,FALSE)*BA141/50),"")</f>
        <v/>
      </c>
      <c r="AW139" s="111" t="str">
        <f>IF(AT139="","",(AT139-AP138*(AT138^2+AT139^2))/((AT138*AP138)^2+(AP138*AT139-1)^2))</f>
        <v/>
      </c>
      <c r="AX139" s="112"/>
      <c r="AY139" s="113">
        <f>IF(N(AY141)=10^30,10^30,IF(N(AY201)=10^30,(N(AY141)*(N(AY200)^2+N(AY201)^2)+N(AY201)*(N(AY140)^2+N(AY141)^2))/((N(AY140)+N(AY200))^2+(N(AY141)+N(AY201))^2),(N(AY141)*(N(AY198)^2+N(AY199)^2)+N(AY199)*(N(AY140)^2+N(AY141)^2))/((N(AY140)+N(AY198))^2+(N(AY141)+N(AY199))^2)))</f>
        <v>1E+30</v>
      </c>
      <c r="AZ139" s="52"/>
      <c r="BA139" s="114">
        <f>IF(AND(H138="",SUM(S138:S141)&lt;&gt;0),BA135,H138)</f>
        <v>0</v>
      </c>
      <c r="BB139" s="115">
        <f>IF(AND(BA138=3,S139&lt;&gt;""),1,0)</f>
        <v>0</v>
      </c>
      <c r="BC139" s="52"/>
      <c r="BD139" s="52"/>
      <c r="BH139" s="162"/>
      <c r="BI139" s="162"/>
      <c r="BJ139" s="4"/>
      <c r="BK139" s="4"/>
    </row>
    <row r="140" spans="1:63" ht="15" customHeight="1" x14ac:dyDescent="0.15">
      <c r="A140" s="159"/>
      <c r="B140" s="159"/>
      <c r="C140" s="245"/>
      <c r="D140" s="432"/>
      <c r="E140" s="448"/>
      <c r="F140" s="438"/>
      <c r="G140" s="438"/>
      <c r="H140" s="438"/>
      <c r="I140" s="438"/>
      <c r="J140" s="438"/>
      <c r="K140" s="439"/>
      <c r="L140" s="440"/>
      <c r="M140" s="441"/>
      <c r="N140" s="437"/>
      <c r="O140" s="171"/>
      <c r="P140" s="196"/>
      <c r="Q140" s="177"/>
      <c r="R140" s="173"/>
      <c r="S140" s="174" t="str">
        <f t="shared" si="6"/>
        <v/>
      </c>
      <c r="T140" s="175"/>
      <c r="U140" s="178" t="str">
        <f>IF(OR(BA140="",S140=""),"",S140*1000*T140/(SQRT(BA138)*BA140))</f>
        <v/>
      </c>
      <c r="V140" s="179" t="str">
        <f>IF(AND(N(U138)=0,N(U139)=0,N(U140)=0,N(U141)=0),"",V138*(P138*R138*T138+P139*R139*T139+P140*R140*T140+P141*R141*T141)/(P138*T138+P139*T139+P140*T140+P141*T141))</f>
        <v/>
      </c>
      <c r="W140" s="209" t="str">
        <f>IF(AND(N(AP140)=0,N(AP141)=0,N(AP139)=0),"",IF(AP141&gt;=0,COS(ATAN(AP141/AP140)),-COS(ATAN(AP141/AP140))))</f>
        <v/>
      </c>
      <c r="X140" s="180"/>
      <c r="Y140" s="181"/>
      <c r="Z140" s="182"/>
      <c r="AA140" s="183"/>
      <c r="AB140" s="184"/>
      <c r="AC140" s="181"/>
      <c r="AD140" s="182"/>
      <c r="AE140" s="185"/>
      <c r="AF140" s="136" t="str">
        <f>IF(OR(AF138="",AG134&lt;&gt;""),"",BA140/SQRT(AW140^2+AW141^2))</f>
        <v/>
      </c>
      <c r="AG140" s="205" t="str">
        <f>IF(AG138="","",100*((BA140/AQ139)-AG138)/(BA140/AQ139))</f>
        <v/>
      </c>
      <c r="AH140" s="206"/>
      <c r="AI140" s="208"/>
      <c r="AJ140" s="211"/>
      <c r="AK140" s="213"/>
      <c r="AL140" s="137"/>
      <c r="AM140" s="59"/>
      <c r="AN140" s="138" t="b">
        <f>IF(BA138="","",IF(AND(BA138=3,F140=50,L138="油入自冷"),VLOOKUP(L140,変３,2,FALSE),IF(AND(BA138=3,F140=50,L138="モ－ルド絶縁"),VLOOKUP(L140,変３,7,FALSE),IF(AND(BA138=3,F140=60,L138="油入自冷"),VLOOKUP(L140,変３,12,FALSE),IF(AND(BA138=3,F140=60,L138="モ－ルド絶縁"),VLOOKUP(L140,変３,17,FALSE),FALSE)))))</f>
        <v>0</v>
      </c>
      <c r="AO140" s="109" t="str">
        <f>IF(AND(L134="",N(AY138)&lt;10^29),AY138,"")</f>
        <v/>
      </c>
      <c r="AP140" s="139" t="str">
        <f>IF(V138="","",IF(AND(N(V140)=0,N(AP139)=0),"",AQ140/((AQ140*AP139)^2+(AP139*AQ141-1)^2)))</f>
        <v/>
      </c>
      <c r="AQ140" s="107">
        <f>IF(N(V140)=0,10^30,V140)</f>
        <v>1E+30</v>
      </c>
      <c r="AR140" s="109" t="str">
        <f>IF(AB138="","",IF(AB138="600V IV",VLOOKUP(AB140,ＩＶ,2,FALSE),IF(AB138="600V CV-T",VLOOKUP(AB140,ＣＶＴ,2,FALSE),IF(OR(AB138="600V CV-1C",AB138="600V CV-2C",AB138="600V CV-3C",AB138="600V CV-4C"),VLOOKUP(AB140,ＣＶ２３Ｃ,2,FALSE),VLOOKUP(AB140,ＣＵＳＥＲ,2,FALSE)))))</f>
        <v/>
      </c>
      <c r="AS140" s="107" t="str">
        <f>IF(OR(AND(AS198="",AS199=""),AND(D138="",D198&lt;&gt;"")),AS138,(AS138*(AT198^2+AT199^2)+AT198*(AS138^2+AS139^2))/((AS138+AT198)^2+(AS139+AT199)^2))</f>
        <v/>
      </c>
      <c r="AT140" s="110" t="str">
        <f>IF(X141="",AS140,N(AS140)+(X141/1000))</f>
        <v/>
      </c>
      <c r="AU140" s="110" t="str">
        <f>IF(AU138="","",(AT140*(AU138^2+AU139^2)+AU138*(AT140^2+AT141^2))/((AT140+AU138)^2+(AT141+AU139)^2))</f>
        <v/>
      </c>
      <c r="AV140" s="110">
        <f>IF(BA140=0,1,0)</f>
        <v>1</v>
      </c>
      <c r="AW140" s="111" t="str">
        <f>IF(AO140="","",AW138+AO140)</f>
        <v/>
      </c>
      <c r="AX140" s="112" t="str">
        <f>IF(AND(AX136="",AW140&lt;&gt;""),BA140*SQRT(AW138^2+AW139^2)/SQRT(AW140^2+AW141^2),IF(BA140&lt;&gt;0,AX136,""))</f>
        <v/>
      </c>
      <c r="AY140" s="140">
        <f>IF(L140="",10^30,SQRT(BA138)*(BA140^2)*(N(AN138)+N(AN140)+N(AO138)+N(AV138))/(100000*L140*M138))</f>
        <v>1E+30</v>
      </c>
      <c r="AZ140" s="141"/>
      <c r="BA140" s="114">
        <f>IF(AND(J138="",SUM(S138:S141)&lt;&gt;0),BA136,J138)</f>
        <v>0</v>
      </c>
      <c r="BB140" s="115">
        <f>IF(AND(BA138=3,S140&lt;&gt;""),1,0)</f>
        <v>0</v>
      </c>
      <c r="BC140" s="52"/>
      <c r="BD140" s="52"/>
      <c r="BH140" s="162"/>
      <c r="BI140" s="162"/>
      <c r="BJ140" s="4"/>
      <c r="BK140" s="4"/>
    </row>
    <row r="141" spans="1:63" ht="15" customHeight="1" x14ac:dyDescent="0.15">
      <c r="A141" s="159"/>
      <c r="B141" s="159"/>
      <c r="C141" s="245"/>
      <c r="D141" s="442"/>
      <c r="E141" s="449"/>
      <c r="F141" s="444"/>
      <c r="G141" s="444"/>
      <c r="H141" s="444"/>
      <c r="I141" s="444"/>
      <c r="J141" s="444"/>
      <c r="K141" s="445"/>
      <c r="L141" s="238" t="str">
        <f>IF(M138="","",L140*1000*M138/(SQRT(BA138)*BA140))</f>
        <v/>
      </c>
      <c r="M141" s="239"/>
      <c r="N141" s="446"/>
      <c r="O141" s="186"/>
      <c r="P141" s="197"/>
      <c r="Q141" s="187"/>
      <c r="R141" s="188"/>
      <c r="S141" s="189" t="str">
        <f t="shared" si="6"/>
        <v/>
      </c>
      <c r="T141" s="190"/>
      <c r="U141" s="191" t="str">
        <f>IF(OR(BA140="",S141=""),"",S141*1000*T141/(SQRT(BA138)*BA140))</f>
        <v/>
      </c>
      <c r="V141" s="192" t="str">
        <f>IF(AND(N(U138)=0,N(U139)=0,N(U140)=0,N(U141)=0),"",IF(V138&gt;=0,SQRT(ABS(V138^2-V140^2)),-SQRT(V138^2-V140^2)))</f>
        <v/>
      </c>
      <c r="W141" s="210"/>
      <c r="X141" s="215" t="str">
        <f>IF(Y140="","",AQ138*Z140*AR138*((1+0.00393*(F141-20))/1.2751)/Y140)</f>
        <v/>
      </c>
      <c r="Y141" s="216"/>
      <c r="Z141" s="217" t="str">
        <f>IF(Y140="","",(BA141/50)*AQ138*Z140*AR139/Y140)</f>
        <v/>
      </c>
      <c r="AA141" s="218"/>
      <c r="AB141" s="219" t="str">
        <f>IF(AC140="","",AQ138*AD140*AR140*((1+0.00393*(F141-20))/1.2751)/AC140)</f>
        <v/>
      </c>
      <c r="AC141" s="216"/>
      <c r="AD141" s="217" t="str">
        <f>IF(AC140="","",(BA141/50)*AQ138*AD140*AR141/AC140)</f>
        <v/>
      </c>
      <c r="AE141" s="242"/>
      <c r="AF141" s="150" t="str">
        <f>IF(AND(AX138&lt;&gt;"",D138=""),AX138,"")</f>
        <v/>
      </c>
      <c r="AG141" s="243" t="str">
        <f>IF(AP140="","",AP140)</f>
        <v/>
      </c>
      <c r="AH141" s="244"/>
      <c r="AI141" s="151" t="str">
        <f>IF(AP141="","",AP141)</f>
        <v/>
      </c>
      <c r="AJ141" s="212"/>
      <c r="AK141" s="214"/>
      <c r="AL141" s="152"/>
      <c r="AM141" s="59"/>
      <c r="AN141" s="153" t="b">
        <f>IF(BA138="","",IF(AND(BA138=3,F140=50,L138="油入自冷"),VLOOKUP(L140,変３,3,FALSE),IF(AND(BA138=3,F140=50,L138="モ－ルド絶縁"),VLOOKUP(L140,変３,8,FALSE),IF(AND(BA138=3,F140=60,L138="油入自冷"),VLOOKUP(L140,変３,13,FALSE),IF(AND(BA138=3,F140=60,L138="モ－ルド絶縁"),VLOOKUP(L140,変３,18,FALSE),FALSE)))))</f>
        <v>0</v>
      </c>
      <c r="AO141" s="153" t="str">
        <f>IF(AND(L134="",N(AY139)&lt;10^29),AY139,"")</f>
        <v/>
      </c>
      <c r="AP141" s="154" t="str">
        <f>IF(V138="","",IF(AND(N(V141)=0,N(AP139)=0),0,(AQ141-AP139*(AQ140^2+AQ141^2))/((AQ140*AP139)^2+(AP139*AQ141-1)^2)))</f>
        <v/>
      </c>
      <c r="AQ141" s="155">
        <f>IF(N(V141)=0,10^30,V141)</f>
        <v>1E+30</v>
      </c>
      <c r="AR141" s="153" t="str">
        <f>IF(AB138="","",IF(AB138="600V IV",VLOOKUP(AB140,ＩＶ,3,FALSE),IF(AB138="600V CV-T",VLOOKUP(AB140,ＣＶＴ,3,FALSE),IF(OR(AB138="600V CV-1C",AB138="600V CV-2C",AB138="600V CV-3C",AB138="600V CV-4C"),VLOOKUP(AB140,ＣＶ２３Ｃ,3,FALSE),VLOOKUP(AB140,ＣＵＳＥＲ,3,FALSE)))))</f>
        <v/>
      </c>
      <c r="AS141" s="155" t="str">
        <f>IF(OR(AND(AS198="",AS199=""),AND(D138="",D198&lt;&gt;"")),AS139,(AS139*(AT198^2+AT199^2)+AT199*(AS138^2+AS139^2))/((AS138+AT198)^2+(AS139+AT199)^2))</f>
        <v/>
      </c>
      <c r="AT141" s="156" t="str">
        <f>IF(Z141="",AS141,N(AS141)+(Z141/1000))</f>
        <v/>
      </c>
      <c r="AU141" s="156" t="str">
        <f>IF(AU139="","",(AT141*(AU138^2+AU139^2)+AU139*(AT140^2+AT141^2))/((AT140+AU138)^2+(AT141+AU139)^2))</f>
        <v/>
      </c>
      <c r="AV141" s="156">
        <f>AV137+AV140</f>
        <v>13</v>
      </c>
      <c r="AW141" s="155" t="str">
        <f>IF(AO141="","",AW139+AO141)</f>
        <v/>
      </c>
      <c r="AX141" s="157"/>
      <c r="AY141" s="140">
        <f>IF(L140="",10^30,SQRT(BA138)*(BA140^2)*(N(AN139)+N(AN141)+N(AO139)+N(AV139))/(100000*L140*M138))</f>
        <v>1E+30</v>
      </c>
      <c r="AZ141" s="141"/>
      <c r="BA141" s="114">
        <f>IF(AND(F140="",SUM(S138:S141)&lt;&gt;0),BA137,F140)</f>
        <v>0</v>
      </c>
      <c r="BB141" s="115">
        <f>IF(AND(BA138=3,S141&lt;&gt;""),1,0)</f>
        <v>0</v>
      </c>
      <c r="BC141" s="52"/>
      <c r="BD141" s="52"/>
      <c r="BH141" s="162"/>
      <c r="BI141" s="162"/>
      <c r="BJ141" s="4"/>
      <c r="BK141" s="4"/>
    </row>
    <row r="142" spans="1:63" ht="15" customHeight="1" x14ac:dyDescent="0.15">
      <c r="A142" s="159"/>
      <c r="B142" s="159"/>
      <c r="C142" s="245" t="str">
        <f>IF(BH142=1,"●","・")</f>
        <v>・</v>
      </c>
      <c r="D142" s="425"/>
      <c r="E142" s="447"/>
      <c r="F142" s="427"/>
      <c r="G142" s="240" t="str">
        <f>IF(F142="","","φ")</f>
        <v/>
      </c>
      <c r="H142" s="428"/>
      <c r="I142" s="240" t="str">
        <f>IF(H142="","","W")</f>
        <v/>
      </c>
      <c r="J142" s="428"/>
      <c r="K142" s="246" t="str">
        <f>IF(J142="","","V")</f>
        <v/>
      </c>
      <c r="L142" s="429"/>
      <c r="M142" s="430"/>
      <c r="N142" s="431"/>
      <c r="O142" s="164"/>
      <c r="P142" s="194"/>
      <c r="Q142" s="165"/>
      <c r="R142" s="166"/>
      <c r="S142" s="167" t="str">
        <f>IF(R142="","",IF(Q142="",P142/R142,P142/(Q142*R142)))</f>
        <v/>
      </c>
      <c r="T142" s="168"/>
      <c r="U142" s="169" t="str">
        <f>IF(OR(BA144="",S142=""),"",S142*1000*T142/(SQRT(BA142)*BA144))</f>
        <v/>
      </c>
      <c r="V142" s="236" t="str">
        <f>IF(AND(N(U142)=0,N(U143)=0,N(U144)=0,N(U145)=0),"",BA144/(SUM(U142:U145)))</f>
        <v/>
      </c>
      <c r="W142" s="220"/>
      <c r="X142" s="222"/>
      <c r="Y142" s="223"/>
      <c r="Z142" s="224"/>
      <c r="AA142" s="228"/>
      <c r="AB142" s="230"/>
      <c r="AC142" s="223"/>
      <c r="AD142" s="224"/>
      <c r="AE142" s="232"/>
      <c r="AF142" s="104" t="str">
        <f>IF(OR(AND(AF138="",N(BA140)=0,BA144&lt;&gt;0),D142&lt;&gt;""),AX144/AQ143,"")</f>
        <v/>
      </c>
      <c r="AG142" s="234" t="str">
        <f>IF(BA144=0,"",IF(AD144="",AX142,IF(AND(D142&lt;&gt;"",AU142=""),AX144*SQRT(AP144^2+AP145^2)/SQRT(AS142^2+AS143^2)/AQ143,AX142*SQRT(AP144^2+AP145^2)/SQRT(AS142^2+AS143^2))))</f>
        <v/>
      </c>
      <c r="AH142" s="235"/>
      <c r="AI142" s="105" t="str">
        <f>IF(AG142="","",IF(N(U142)&lt;0,-AX142*AQ143/SQRT(AS142^2+AS143^2),AX142*AQ143/SQRT(AS142^2+AS143^2)))</f>
        <v/>
      </c>
      <c r="AJ142" s="201"/>
      <c r="AK142" s="202"/>
      <c r="AL142" s="106"/>
      <c r="AM142" s="59"/>
      <c r="AN142" s="107" t="b">
        <f>IF(BA142="","",IF(AND(BA142=1,F144=50,L142="油入自冷"),VLOOKUP(L144,変１,2,FALSE),IF(AND(BA142=1,F144=50,L142="モ－ルド絶縁"),VLOOKUP(L144,変１,7,FALSE),IF(AND(BA142=1,F144=60,L142="油入自冷"),VLOOKUP(L144,変１,12,FALSE),IF(AND(BA142=1,F144=60,L142="モ－ルド絶縁"),VLOOKUP(L144,変１,17,FALSE),FALSE)))))</f>
        <v>0</v>
      </c>
      <c r="AO142" s="107">
        <f>IF(ISNA(VLOOKUP(L144,変ＵＳＥＲ,2,FALSE)),0,VLOOKUP(L144,変ＵＳＥＲ,2,FALSE))</f>
        <v>0</v>
      </c>
      <c r="AP142" s="108">
        <f>IF(N142="",0,N142*1000/BA144^2/SQRT(BA142))</f>
        <v>0</v>
      </c>
      <c r="AQ142" s="107" t="b">
        <f>IF(BA142=1,2,IF(BA142=3,SQRT(3),FALSE))</f>
        <v>0</v>
      </c>
      <c r="AR142" s="109" t="str">
        <f>IF(X142="","",IF(X142="600V IV",VLOOKUP(X144,ＩＶ,2,FALSE),IF(X142="600V CV-T",VLOOKUP(X144,ＣＶＴ,2,FALSE),IF(OR(X142="600V CV-1C",X142="600V CV-2C",X142="600V CV-3C",X142="600V CV-4C"),VLOOKUP(X144,ＣＶ２３Ｃ,2,FALSE),VLOOKUP(X144,ＣＵＳＥＲ,2,FALSE)))))</f>
        <v/>
      </c>
      <c r="AS142" s="107" t="str">
        <f>IF(AB145="",AP144,AP144+(AB145/1000))</f>
        <v/>
      </c>
      <c r="AT142" s="110" t="str">
        <f>IF(AU144="",AT144,AU144)</f>
        <v/>
      </c>
      <c r="AU142" s="110" t="str">
        <f>IF(D142="","",IF(AND(D202="",D206&lt;&gt;"",AV145=AV209),AT206,IF(AND(D202="",D206="",D210&lt;&gt;"",AV205=AV213),AT210,IF(AND(D202="",D206="",D210="",D214&lt;&gt;"",AV209=AV217),AT214,IF(AND(D202="",D206="",D210="",D214="",D218&lt;&gt;"",AV213=AV221),AT218,IF(AND(D202="",D206="",D210="",D214="",D218="",D222&lt;&gt;"",AV217=AV225),AT222,IF(AND(D202="",D206="",D210="",D214="",D218="",D222="",D226&lt;&gt;"",AV221=AV229),AT226,"")))))))</f>
        <v/>
      </c>
      <c r="AV142" s="110" t="str">
        <f>IF(L142="発電機",IF(ISNA(VLOOKUP(L144,ＡＣＧ,2,FALSE)),0,VLOOKUP(L144,ＡＣＧ,2,FALSE)),"")</f>
        <v/>
      </c>
      <c r="AW142" s="111" t="str">
        <f>IF(AT142="","",AT142/((AT142*AP142)^2+(AT143*AP142-1)^2))</f>
        <v/>
      </c>
      <c r="AX142" s="112" t="str">
        <f>IF(BA144=0,"",IF(OR(AX138="",AF142&lt;&gt;""),AF142*SQRT(AS144^2+AS145^2)/SQRT(AT144^2+AT145^2),AX138*SQRT(AS144^2+AS145^2)/SQRT(AT144^2+AT145^2)))</f>
        <v/>
      </c>
      <c r="AY142" s="113">
        <f>IF(N(AY144)=10^30,10^30,IF(N(AY204)=10^30,(N(AY144)*(N(AY204)^2+N(AY205)^2)+N(AY204)*(N(AY144)^2+N(AY145)^2))/((N(AY144)+N(AY204))^2+(N(AY145)+N(AY205))^2),(N(AY144)*(N(AY202)^2+N(AY203)^2)+N(AY202)*(N(AY144)^2+N(AY145)^2))/((N(AY144)+N(AY202))^2+(N(AY145)+N(AY203))^2)))</f>
        <v>1E+30</v>
      </c>
      <c r="AZ142" s="52"/>
      <c r="BA142" s="114">
        <f>IF(AND(F142="",SUM(S142:S145)&lt;&gt;0),BA138,F142)</f>
        <v>0</v>
      </c>
      <c r="BB142" s="115">
        <f>IF(AND(BA142=3,S142&lt;&gt;""),1,0)</f>
        <v>0</v>
      </c>
      <c r="BC142" s="52"/>
      <c r="BD142" s="52"/>
      <c r="BH142" s="162">
        <f>IF(OR(E142="",F145="",AND(OR(P142="",Q142="",R142="",T142=""),OR(P143="",Q143="",R143="",T143=""),OR(P144="",Q144="",R144="",T144=""),OR(P145="",Q145="",R145="",T145="")),AND(OR(X142="",X144="",Y144="",Z144=""),OR(AB142="",AB144="",AC144="",AD144=""))),0,1)</f>
        <v>0</v>
      </c>
      <c r="BI142" s="162">
        <f>BH142+BI138</f>
        <v>4</v>
      </c>
      <c r="BJ142" s="4"/>
      <c r="BK142" s="4"/>
    </row>
    <row r="143" spans="1:63" ht="15" customHeight="1" x14ac:dyDescent="0.15">
      <c r="A143" s="159"/>
      <c r="B143" s="159"/>
      <c r="C143" s="245"/>
      <c r="D143" s="432"/>
      <c r="E143" s="448"/>
      <c r="F143" s="434"/>
      <c r="G143" s="241"/>
      <c r="H143" s="435"/>
      <c r="I143" s="241"/>
      <c r="J143" s="435"/>
      <c r="K143" s="247"/>
      <c r="L143" s="436"/>
      <c r="M143" s="170" t="str">
        <f>IF(L142="発電機",SQRT(AV142^2+AV143^2),IF(L144="","",IF(OR(L142="油入自冷",L142="モ－ルド絶縁"),IF(BA142=1,SQRT(AN142^2+AN143^2),IF(BA142=3,SQRT(AN144^2+AN145^2))),SQRT(AO142^2+AO143^2))))</f>
        <v/>
      </c>
      <c r="N143" s="437"/>
      <c r="O143" s="171"/>
      <c r="P143" s="195"/>
      <c r="Q143" s="172"/>
      <c r="R143" s="173"/>
      <c r="S143" s="174" t="str">
        <f t="shared" si="6"/>
        <v/>
      </c>
      <c r="T143" s="175"/>
      <c r="U143" s="176" t="str">
        <f>IF(OR(BA144="",S143=""),"",S143*1000*T143/(SQRT(BA142)*BA144))</f>
        <v/>
      </c>
      <c r="V143" s="237"/>
      <c r="W143" s="221"/>
      <c r="X143" s="225"/>
      <c r="Y143" s="226"/>
      <c r="Z143" s="227"/>
      <c r="AA143" s="229"/>
      <c r="AB143" s="231"/>
      <c r="AC143" s="226"/>
      <c r="AD143" s="227"/>
      <c r="AE143" s="233"/>
      <c r="AF143" s="124" t="str">
        <f>IF(OR(AF142="",AG138&lt;&gt;""),"",AF142*AQ143/SQRT(AT142^2+AT143^2))</f>
        <v/>
      </c>
      <c r="AG143" s="205" t="str">
        <f>IF(AG142="","",100*AG142*AQ143/BA144)</f>
        <v/>
      </c>
      <c r="AH143" s="206"/>
      <c r="AI143" s="207" t="str">
        <f>IF(BA144=0,"",IF(AI138="",AX144/SQRT(AT142^2+AT143^2),IF(AI146="","",IF(AT142&lt;0,-AX142*AQ139/SQRT(AT142^2+AT143^2),AX142*AQ139/SQRT(AT142^2+AT143^2)))))</f>
        <v/>
      </c>
      <c r="AJ143" s="203"/>
      <c r="AK143" s="204"/>
      <c r="AL143" s="125"/>
      <c r="AM143" s="59"/>
      <c r="AN143" s="107" t="b">
        <f>IF(BA142="","",IF(AND(BA142=1,F144=50,L142="油入自冷"),VLOOKUP(L144,変１,3,FALSE),IF(AND(BA142=1,F144=50,L142="モ－ルド絶縁"),VLOOKUP(L144,変１,8,FALSE),IF(AND(BA142=1,F144=60,L142="油入自冷"),VLOOKUP(L144,変１,13,FALSE),IF(AND(BA142=1,F144=60,L142="モ－ルド絶縁"),VLOOKUP(L144,変１,18,FALSE),FALSE)))))</f>
        <v>0</v>
      </c>
      <c r="AO143" s="107">
        <f>IF(ISNA(VLOOKUP(L144,変ＵＳＥＲ,3,FALSE)),0,VLOOKUP(L144,変ＵＳＥＲ,3,FALSE)*BA145/50)</f>
        <v>0</v>
      </c>
      <c r="AP143" s="108">
        <f>IF(W142="",0,W142*1000/BA144^2/SQRT(BA142))</f>
        <v>0</v>
      </c>
      <c r="AQ143" s="107">
        <f>IF(AND(BA142=1,BA143=2),1,IF(AND(BA142=3,BA143=3),1,IF(AND(BA142=1,BA143=3),2,IF(AND(BA142=3,BA143=4)*OR(BB142=1,BB143=1,BB144=1,BB145=1),1,SQRT(3)))))</f>
        <v>1.7320508075688772</v>
      </c>
      <c r="AR143" s="109" t="str">
        <f>IF(X142="","",IF(X142="600V IV",VLOOKUP(X144,ＩＶ,3,FALSE),IF(X142="600V CV-T",VLOOKUP(X144,ＣＶＴ,3,FALSE),IF(OR(X142="600V CV-1C",X142="600V CV-2C",X142="600V CV-3C",X142="600V CV-4C"),VLOOKUP(X144,ＣＶ２３Ｃ,3,FALSE),VLOOKUP(X144,ＣＵＳＥＲ,3,FALSE)))))</f>
        <v/>
      </c>
      <c r="AS143" s="107" t="str">
        <f>IF(AD145="",AP145,AP145+(AD145/1000))</f>
        <v/>
      </c>
      <c r="AT143" s="110" t="str">
        <f>IF(AU145="",AT145,AU145)</f>
        <v/>
      </c>
      <c r="AU143" s="110" t="str">
        <f>IF(D142="","",IF(AND(D202="",D206&lt;&gt;"",AV145=AV209),AT207,IF(AND(D202="",D206="",D210&lt;&gt;"",AV205=AV213),AT211,IF(AND(D202="",D206="",D210="",D214&lt;&gt;"",AV209=AV217),AT215,IF(AND(D202="",D206="",D210="",D214="",D218&lt;&gt;"",AV213=AV221),AT219,IF(AND(D202="",D206="",D210="",D214="",D218="",D222&lt;&gt;"",AV217=AV225),AT223,IF(AND(D202="",D206="",D210="",D214="",D218="",D222="",D226&lt;&gt;"",AV221=AV229),AT227,"")))))))</f>
        <v/>
      </c>
      <c r="AV143" s="109" t="str">
        <f>IF(L142="発電機",IF(ISNA(VLOOKUP(L144,ＡＣＧ,3,FALSE)),0,VLOOKUP(L144,ＡＣＧ,3,FALSE)*BA145/50),"")</f>
        <v/>
      </c>
      <c r="AW143" s="111" t="str">
        <f>IF(AT143="","",(AT143-AP142*(AT142^2+AT143^2))/((AT142*AP142)^2+(AP142*AT143-1)^2))</f>
        <v/>
      </c>
      <c r="AX143" s="112"/>
      <c r="AY143" s="113">
        <f>IF(N(AY145)=10^30,10^30,IF(N(AY205)=10^30,(N(AY145)*(N(AY204)^2+N(AY205)^2)+N(AY205)*(N(AY144)^2+N(AY145)^2))/((N(AY144)+N(AY204))^2+(N(AY145)+N(AY205))^2),(N(AY145)*(N(AY202)^2+N(AY203)^2)+N(AY203)*(N(AY144)^2+N(AY145)^2))/((N(AY144)+N(AY202))^2+(N(AY145)+N(AY203))^2)))</f>
        <v>1E+30</v>
      </c>
      <c r="AZ143" s="52"/>
      <c r="BA143" s="114">
        <f>IF(AND(H142="",SUM(S142:S145)&lt;&gt;0),BA139,H142)</f>
        <v>0</v>
      </c>
      <c r="BB143" s="115">
        <f>IF(AND(BA142=3,S143&lt;&gt;""),1,0)</f>
        <v>0</v>
      </c>
      <c r="BC143" s="52"/>
      <c r="BD143" s="52"/>
      <c r="BH143" s="162"/>
      <c r="BI143" s="162"/>
      <c r="BJ143" s="4"/>
      <c r="BK143" s="4"/>
    </row>
    <row r="144" spans="1:63" ht="15" customHeight="1" x14ac:dyDescent="0.15">
      <c r="A144" s="159"/>
      <c r="B144" s="159"/>
      <c r="C144" s="245"/>
      <c r="D144" s="432"/>
      <c r="E144" s="448"/>
      <c r="F144" s="438"/>
      <c r="G144" s="438"/>
      <c r="H144" s="438"/>
      <c r="I144" s="438"/>
      <c r="J144" s="438"/>
      <c r="K144" s="439"/>
      <c r="L144" s="440"/>
      <c r="M144" s="441"/>
      <c r="N144" s="437"/>
      <c r="O144" s="171"/>
      <c r="P144" s="196"/>
      <c r="Q144" s="177"/>
      <c r="R144" s="173"/>
      <c r="S144" s="174" t="str">
        <f t="shared" si="6"/>
        <v/>
      </c>
      <c r="T144" s="175"/>
      <c r="U144" s="178" t="str">
        <f>IF(OR(BA144="",S144=""),"",S144*1000*T144/(SQRT(BA142)*BA144))</f>
        <v/>
      </c>
      <c r="V144" s="179" t="str">
        <f>IF(AND(N(U142)=0,N(U143)=0,N(U144)=0,N(U145)=0),"",V142*(P142*R142*T142+P143*R143*T143+P144*R144*T144+P145*R145*T145)/(P142*T142+P143*T143+P144*T144+P145*T145))</f>
        <v/>
      </c>
      <c r="W144" s="209" t="str">
        <f>IF(AND(N(AP144)=0,N(AP145)=0,N(AP143)=0),"",IF(AP145&gt;=0,COS(ATAN(AP145/AP144)),-COS(ATAN(AP145/AP144))))</f>
        <v/>
      </c>
      <c r="X144" s="180"/>
      <c r="Y144" s="181"/>
      <c r="Z144" s="182"/>
      <c r="AA144" s="183"/>
      <c r="AB144" s="184"/>
      <c r="AC144" s="181"/>
      <c r="AD144" s="182"/>
      <c r="AE144" s="185"/>
      <c r="AF144" s="136" t="str">
        <f>IF(OR(AF142="",AG138&lt;&gt;""),"",BA144/SQRT(AW144^2+AW145^2))</f>
        <v/>
      </c>
      <c r="AG144" s="205" t="str">
        <f>IF(AG142="","",100*((BA144/AQ143)-AG142)/(BA144/AQ143))</f>
        <v/>
      </c>
      <c r="AH144" s="206"/>
      <c r="AI144" s="208"/>
      <c r="AJ144" s="211"/>
      <c r="AK144" s="213"/>
      <c r="AL144" s="137"/>
      <c r="AM144" s="59"/>
      <c r="AN144" s="138" t="b">
        <f>IF(BA142="","",IF(AND(BA142=3,F144=50,L142="油入自冷"),VLOOKUP(L144,変３,2,FALSE),IF(AND(BA142=3,F144=50,L142="モ－ルド絶縁"),VLOOKUP(L144,変３,7,FALSE),IF(AND(BA142=3,F144=60,L142="油入自冷"),VLOOKUP(L144,変３,12,FALSE),IF(AND(BA142=3,F144=60,L142="モ－ルド絶縁"),VLOOKUP(L144,変３,17,FALSE),FALSE)))))</f>
        <v>0</v>
      </c>
      <c r="AO144" s="109" t="str">
        <f>IF(AND(L138="",N(AY142)&lt;10^29),AY142,"")</f>
        <v/>
      </c>
      <c r="AP144" s="139" t="str">
        <f>IF(V142="","",IF(AND(N(V144)=0,N(AP143)=0),"",AQ144/((AQ144*AP143)^2+(AP143*AQ145-1)^2)))</f>
        <v/>
      </c>
      <c r="AQ144" s="107">
        <f>IF(N(V144)=0,10^30,V144)</f>
        <v>1E+30</v>
      </c>
      <c r="AR144" s="109" t="str">
        <f>IF(AB142="","",IF(AB142="600V IV",VLOOKUP(AB144,ＩＶ,2,FALSE),IF(AB142="600V CV-T",VLOOKUP(AB144,ＣＶＴ,2,FALSE),IF(OR(AB142="600V CV-1C",AB142="600V CV-2C",AB142="600V CV-3C",AB142="600V CV-4C"),VLOOKUP(AB144,ＣＶ２３Ｃ,2,FALSE),VLOOKUP(AB144,ＣＵＳＥＲ,2,FALSE)))))</f>
        <v/>
      </c>
      <c r="AS144" s="107" t="str">
        <f>IF(OR(AND(AS202="",AS203=""),AND(D142="",D202&lt;&gt;"")),AS142,(AS142*(AT202^2+AT203^2)+AT202*(AS142^2+AS143^2))/((AS142+AT202)^2+(AS143+AT203)^2))</f>
        <v/>
      </c>
      <c r="AT144" s="110" t="str">
        <f>IF(X145="",AS144,N(AS144)+(X145/1000))</f>
        <v/>
      </c>
      <c r="AU144" s="110" t="str">
        <f>IF(AU142="","",(AT144*(AU142^2+AU143^2)+AU142*(AT144^2+AT145^2))/((AT144+AU142)^2+(AT145+AU143)^2))</f>
        <v/>
      </c>
      <c r="AV144" s="110">
        <f>IF(BA144=0,1,0)</f>
        <v>1</v>
      </c>
      <c r="AW144" s="111" t="str">
        <f>IF(AO144="","",AW142+AO144)</f>
        <v/>
      </c>
      <c r="AX144" s="112" t="str">
        <f>IF(AND(AX140="",AW144&lt;&gt;""),BA144*SQRT(AW142^2+AW143^2)/SQRT(AW144^2+AW145^2),IF(BA144&lt;&gt;0,AX140,""))</f>
        <v/>
      </c>
      <c r="AY144" s="140">
        <f>IF(L144="",10^30,SQRT(BA142)*(BA144^2)*(N(AN142)+N(AN144)+N(AO142)+N(AV142))/(100000*L144*M142))</f>
        <v>1E+30</v>
      </c>
      <c r="AZ144" s="141"/>
      <c r="BA144" s="114">
        <f>IF(AND(J142="",SUM(S142:S145)&lt;&gt;0),BA140,J142)</f>
        <v>0</v>
      </c>
      <c r="BB144" s="115">
        <f>IF(AND(BA142=3,S144&lt;&gt;""),1,0)</f>
        <v>0</v>
      </c>
      <c r="BC144" s="52"/>
      <c r="BD144" s="52"/>
      <c r="BH144" s="162"/>
      <c r="BI144" s="162"/>
      <c r="BJ144" s="4"/>
      <c r="BK144" s="4"/>
    </row>
    <row r="145" spans="1:63" ht="15" customHeight="1" x14ac:dyDescent="0.15">
      <c r="A145" s="159"/>
      <c r="B145" s="159"/>
      <c r="C145" s="245"/>
      <c r="D145" s="442"/>
      <c r="E145" s="449"/>
      <c r="F145" s="444"/>
      <c r="G145" s="444"/>
      <c r="H145" s="444"/>
      <c r="I145" s="444"/>
      <c r="J145" s="444"/>
      <c r="K145" s="445"/>
      <c r="L145" s="238" t="str">
        <f>IF(M142="","",L144*1000*M142/(SQRT(BA142)*BA144))</f>
        <v/>
      </c>
      <c r="M145" s="239"/>
      <c r="N145" s="446"/>
      <c r="O145" s="186"/>
      <c r="P145" s="197"/>
      <c r="Q145" s="187"/>
      <c r="R145" s="188"/>
      <c r="S145" s="189" t="str">
        <f t="shared" si="6"/>
        <v/>
      </c>
      <c r="T145" s="190"/>
      <c r="U145" s="191" t="str">
        <f>IF(OR(BA144="",S145=""),"",S145*1000*T145/(SQRT(BA142)*BA144))</f>
        <v/>
      </c>
      <c r="V145" s="192" t="str">
        <f>IF(AND(N(U142)=0,N(U143)=0,N(U144)=0,N(U145)=0),"",IF(V142&gt;=0,SQRT(ABS(V142^2-V144^2)),-SQRT(V142^2-V144^2)))</f>
        <v/>
      </c>
      <c r="W145" s="210"/>
      <c r="X145" s="215" t="str">
        <f>IF(Y144="","",AQ142*Z144*AR142*((1+0.00393*(F145-20))/1.2751)/Y144)</f>
        <v/>
      </c>
      <c r="Y145" s="216"/>
      <c r="Z145" s="217" t="str">
        <f>IF(Y144="","",(BA145/50)*AQ142*Z144*AR143/Y144)</f>
        <v/>
      </c>
      <c r="AA145" s="218"/>
      <c r="AB145" s="219" t="str">
        <f>IF(AC144="","",AQ142*AD144*AR144*((1+0.00393*(F145-20))/1.2751)/AC144)</f>
        <v/>
      </c>
      <c r="AC145" s="216"/>
      <c r="AD145" s="217" t="str">
        <f>IF(AC144="","",(BA145/50)*AQ142*AD144*AR145/AC144)</f>
        <v/>
      </c>
      <c r="AE145" s="242"/>
      <c r="AF145" s="150" t="str">
        <f>IF(AND(AX142&lt;&gt;"",D142=""),AX142,"")</f>
        <v/>
      </c>
      <c r="AG145" s="243" t="str">
        <f>IF(AP144="","",AP144)</f>
        <v/>
      </c>
      <c r="AH145" s="244"/>
      <c r="AI145" s="151" t="str">
        <f>IF(AP145="","",AP145)</f>
        <v/>
      </c>
      <c r="AJ145" s="212"/>
      <c r="AK145" s="214"/>
      <c r="AL145" s="152"/>
      <c r="AM145" s="59"/>
      <c r="AN145" s="153" t="b">
        <f>IF(BA142="","",IF(AND(BA142=3,F144=50,L142="油入自冷"),VLOOKUP(L144,変３,3,FALSE),IF(AND(BA142=3,F144=50,L142="モ－ルド絶縁"),VLOOKUP(L144,変３,8,FALSE),IF(AND(BA142=3,F144=60,L142="油入自冷"),VLOOKUP(L144,変３,13,FALSE),IF(AND(BA142=3,F144=60,L142="モ－ルド絶縁"),VLOOKUP(L144,変３,18,FALSE),FALSE)))))</f>
        <v>0</v>
      </c>
      <c r="AO145" s="153" t="str">
        <f>IF(AND(L138="",N(AY143)&lt;10^29),AY143,"")</f>
        <v/>
      </c>
      <c r="AP145" s="154" t="str">
        <f>IF(V142="","",IF(AND(N(V145)=0,N(AP143)=0),0,(AQ145-AP143*(AQ144^2+AQ145^2))/((AQ144*AP143)^2+(AP143*AQ145-1)^2)))</f>
        <v/>
      </c>
      <c r="AQ145" s="155">
        <f>IF(N(V145)=0,10^30,V145)</f>
        <v>1E+30</v>
      </c>
      <c r="AR145" s="153" t="str">
        <f>IF(AB142="","",IF(AB142="600V IV",VLOOKUP(AB144,ＩＶ,3,FALSE),IF(AB142="600V CV-T",VLOOKUP(AB144,ＣＶＴ,3,FALSE),IF(OR(AB142="600V CV-1C",AB142="600V CV-2C",AB142="600V CV-3C",AB142="600V CV-4C"),VLOOKUP(AB144,ＣＶ２３Ｃ,3,FALSE),VLOOKUP(AB144,ＣＵＳＥＲ,3,FALSE)))))</f>
        <v/>
      </c>
      <c r="AS145" s="155" t="str">
        <f>IF(OR(AND(AS202="",AS203=""),AND(D142="",D202&lt;&gt;"")),AS143,(AS143*(AT202^2+AT203^2)+AT203*(AS142^2+AS143^2))/((AS142+AT202)^2+(AS143+AT203)^2))</f>
        <v/>
      </c>
      <c r="AT145" s="156" t="str">
        <f>IF(Z145="",AS145,N(AS145)+(Z145/1000))</f>
        <v/>
      </c>
      <c r="AU145" s="156" t="str">
        <f>IF(AU143="","",(AT145*(AU142^2+AU143^2)+AU143*(AT144^2+AT145^2))/((AT144+AU142)^2+(AT145+AU143)^2))</f>
        <v/>
      </c>
      <c r="AV145" s="156">
        <f>AV141+AV144</f>
        <v>14</v>
      </c>
      <c r="AW145" s="155" t="str">
        <f>IF(AO145="","",AW143+AO145)</f>
        <v/>
      </c>
      <c r="AX145" s="157"/>
      <c r="AY145" s="140">
        <f>IF(L144="",10^30,SQRT(BA142)*(BA144^2)*(N(AN143)+N(AN145)+N(AO143)+N(AV143))/(100000*L144*M142))</f>
        <v>1E+30</v>
      </c>
      <c r="AZ145" s="141"/>
      <c r="BA145" s="114">
        <f>IF(AND(F144="",SUM(S142:S145)&lt;&gt;0),BA141,F144)</f>
        <v>0</v>
      </c>
      <c r="BB145" s="115">
        <f>IF(AND(BA142=3,S145&lt;&gt;""),1,0)</f>
        <v>0</v>
      </c>
      <c r="BC145" s="52"/>
      <c r="BD145" s="52"/>
      <c r="BH145" s="162"/>
      <c r="BI145" s="162"/>
      <c r="BJ145" s="4"/>
      <c r="BK145" s="4"/>
    </row>
    <row r="146" spans="1:63" ht="15" customHeight="1" x14ac:dyDescent="0.15">
      <c r="A146" s="159"/>
      <c r="B146" s="159"/>
      <c r="C146" s="245" t="str">
        <f>IF(BH146=1,"●","・")</f>
        <v>・</v>
      </c>
      <c r="D146" s="425"/>
      <c r="E146" s="447"/>
      <c r="F146" s="427"/>
      <c r="G146" s="240" t="str">
        <f>IF(F146="","","φ")</f>
        <v/>
      </c>
      <c r="H146" s="428"/>
      <c r="I146" s="240" t="str">
        <f>IF(H146="","","W")</f>
        <v/>
      </c>
      <c r="J146" s="428"/>
      <c r="K146" s="246" t="str">
        <f>IF(J146="","","V")</f>
        <v/>
      </c>
      <c r="L146" s="429"/>
      <c r="M146" s="430"/>
      <c r="N146" s="431"/>
      <c r="O146" s="164"/>
      <c r="P146" s="194"/>
      <c r="Q146" s="165"/>
      <c r="R146" s="166"/>
      <c r="S146" s="167" t="str">
        <f>IF(R146="","",IF(Q146="",P146/R146,P146/(Q146*R146)))</f>
        <v/>
      </c>
      <c r="T146" s="168"/>
      <c r="U146" s="169" t="str">
        <f>IF(OR(BA148="",S146=""),"",S146*1000*T146/(SQRT(BA146)*BA148))</f>
        <v/>
      </c>
      <c r="V146" s="236" t="str">
        <f>IF(AND(N(U146)=0,N(U147)=0,N(U148)=0,N(U149)=0),"",BA148/(SUM(U146:U149)))</f>
        <v/>
      </c>
      <c r="W146" s="220"/>
      <c r="X146" s="222"/>
      <c r="Y146" s="223"/>
      <c r="Z146" s="224"/>
      <c r="AA146" s="228"/>
      <c r="AB146" s="230"/>
      <c r="AC146" s="223"/>
      <c r="AD146" s="224"/>
      <c r="AE146" s="232"/>
      <c r="AF146" s="104" t="str">
        <f>IF(OR(AND(AF142="",N(BA144)=0,BA148&lt;&gt;0),D146&lt;&gt;""),AX148/AQ147,"")</f>
        <v/>
      </c>
      <c r="AG146" s="234" t="str">
        <f>IF(BA148=0,"",IF(AD148="",AX146,IF(AND(D146&lt;&gt;"",AU146=""),AX148*SQRT(AP148^2+AP149^2)/SQRT(AS146^2+AS147^2)/AQ147,AX146*SQRT(AP148^2+AP149^2)/SQRT(AS146^2+AS147^2))))</f>
        <v/>
      </c>
      <c r="AH146" s="235"/>
      <c r="AI146" s="105" t="str">
        <f>IF(AG146="","",IF(N(U146)&lt;0,-AX146*AQ147/SQRT(AS146^2+AS147^2),AX146*AQ147/SQRT(AS146^2+AS147^2)))</f>
        <v/>
      </c>
      <c r="AJ146" s="201"/>
      <c r="AK146" s="202"/>
      <c r="AL146" s="106"/>
      <c r="AM146" s="59"/>
      <c r="AN146" s="107" t="b">
        <f>IF(BA146="","",IF(AND(BA146=1,F148=50,L146="油入自冷"),VLOOKUP(L148,変１,2,FALSE),IF(AND(BA146=1,F148=50,L146="モ－ルド絶縁"),VLOOKUP(L148,変１,7,FALSE),IF(AND(BA146=1,F148=60,L146="油入自冷"),VLOOKUP(L148,変１,12,FALSE),IF(AND(BA146=1,F148=60,L146="モ－ルド絶縁"),VLOOKUP(L148,変１,17,FALSE),FALSE)))))</f>
        <v>0</v>
      </c>
      <c r="AO146" s="107">
        <f>IF(ISNA(VLOOKUP(L148,変ＵＳＥＲ,2,FALSE)),0,VLOOKUP(L148,変ＵＳＥＲ,2,FALSE))</f>
        <v>0</v>
      </c>
      <c r="AP146" s="108">
        <f>IF(N146="",0,N146*1000/BA148^2/SQRT(BA146))</f>
        <v>0</v>
      </c>
      <c r="AQ146" s="107" t="b">
        <f>IF(BA146=1,2,IF(BA146=3,SQRT(3),FALSE))</f>
        <v>0</v>
      </c>
      <c r="AR146" s="109" t="str">
        <f>IF(X146="","",IF(X146="600V IV",VLOOKUP(X148,ＩＶ,2,FALSE),IF(X146="600V CV-T",VLOOKUP(X148,ＣＶＴ,2,FALSE),IF(OR(X146="600V CV-1C",X146="600V CV-2C",X146="600V CV-3C",X146="600V CV-4C"),VLOOKUP(X148,ＣＶ２３Ｃ,2,FALSE),VLOOKUP(X148,ＣＵＳＥＲ,2,FALSE)))))</f>
        <v/>
      </c>
      <c r="AS146" s="107" t="str">
        <f>IF(AB149="",AP148,AP148+(AB149/1000))</f>
        <v/>
      </c>
      <c r="AT146" s="110" t="str">
        <f>IF(AU148="",AT148,AU148)</f>
        <v/>
      </c>
      <c r="AU146" s="110" t="str">
        <f>IF(D146="","",IF(AND(D206="",D210&lt;&gt;"",AV149=AV213),AT210,IF(AND(D206="",D210="",D214&lt;&gt;"",AV209=AV217),AT214,IF(AND(D206="",D210="",D214="",D218&lt;&gt;"",AV213=AV221),AT218,IF(AND(D206="",D210="",D214="",D218="",D222&lt;&gt;"",AV217=AV225),AT222,IF(AND(D206="",D210="",D214="",D218="",D222="",D226&lt;&gt;"",AV221=AV229),AT226,IF(AND(D206="",D210="",D214="",D218="",D222="",D226="",D230&lt;&gt;"",AV225=AV233),AT230,"")))))))</f>
        <v/>
      </c>
      <c r="AV146" s="110" t="str">
        <f>IF(L146="発電機",IF(ISNA(VLOOKUP(L148,ＡＣＧ,2,FALSE)),0,VLOOKUP(L148,ＡＣＧ,2,FALSE)),"")</f>
        <v/>
      </c>
      <c r="AW146" s="111" t="str">
        <f>IF(AT146="","",AT146/((AT146*AP146)^2+(AT147*AP146-1)^2))</f>
        <v/>
      </c>
      <c r="AX146" s="112" t="str">
        <f>IF(BA148=0,"",IF(OR(AX142="",AF146&lt;&gt;""),AF146*SQRT(AS148^2+AS149^2)/SQRT(AT148^2+AT149^2),AX142*SQRT(AS148^2+AS149^2)/SQRT(AT148^2+AT149^2)))</f>
        <v/>
      </c>
      <c r="AY146" s="113">
        <f>IF(N(AY148)=10^30,10^30,IF(N(AY208)=10^30,(N(AY148)*(N(AY208)^2+N(AY209)^2)+N(AY208)*(N(AY148)^2+N(AY149)^2))/((N(AY148)+N(AY208))^2+(N(AY149)+N(AY209))^2),(N(AY148)*(N(AY206)^2+N(AY207)^2)+N(AY206)*(N(AY148)^2+N(AY149)^2))/((N(AY148)+N(AY206))^2+(N(AY149)+N(AY207))^2)))</f>
        <v>1E+30</v>
      </c>
      <c r="AZ146" s="52"/>
      <c r="BA146" s="114">
        <f>IF(AND(F146="",SUM(S146:S149)&lt;&gt;0),BA142,F146)</f>
        <v>0</v>
      </c>
      <c r="BB146" s="115">
        <f>IF(AND(BA146=3,S146&lt;&gt;""),1,0)</f>
        <v>0</v>
      </c>
      <c r="BC146" s="52"/>
      <c r="BD146" s="52"/>
      <c r="BH146" s="162">
        <f>IF(OR(E146="",F149="",AND(OR(P146="",Q146="",R146="",T146=""),OR(P147="",Q147="",R147="",T147=""),OR(P148="",Q148="",R148="",T148=""),OR(P149="",Q149="",R149="",T149="")),AND(OR(X146="",X148="",Y148="",Z148=""),OR(AB146="",AB148="",AC148="",AD148=""))),0,1)</f>
        <v>0</v>
      </c>
      <c r="BI146" s="162">
        <f>BH146+BI142</f>
        <v>4</v>
      </c>
      <c r="BJ146" s="4"/>
      <c r="BK146" s="4"/>
    </row>
    <row r="147" spans="1:63" ht="15" customHeight="1" x14ac:dyDescent="0.15">
      <c r="A147" s="159"/>
      <c r="B147" s="159"/>
      <c r="C147" s="245"/>
      <c r="D147" s="432"/>
      <c r="E147" s="448"/>
      <c r="F147" s="434"/>
      <c r="G147" s="241"/>
      <c r="H147" s="435"/>
      <c r="I147" s="241"/>
      <c r="J147" s="435"/>
      <c r="K147" s="247"/>
      <c r="L147" s="436"/>
      <c r="M147" s="170" t="str">
        <f>IF(L146="発電機",SQRT(AV146^2+AV147^2),IF(L148="","",IF(OR(L146="油入自冷",L146="モ－ルド絶縁"),IF(BA146=1,SQRT(AN146^2+AN147^2),IF(BA146=3,SQRT(AN148^2+AN149^2))),SQRT(AO146^2+AO147^2))))</f>
        <v/>
      </c>
      <c r="N147" s="437"/>
      <c r="O147" s="171"/>
      <c r="P147" s="195"/>
      <c r="Q147" s="172"/>
      <c r="R147" s="173"/>
      <c r="S147" s="174" t="str">
        <f t="shared" si="6"/>
        <v/>
      </c>
      <c r="T147" s="175"/>
      <c r="U147" s="176" t="str">
        <f>IF(OR(BA148="",S147=""),"",S147*1000*T147/(SQRT(BA146)*BA148))</f>
        <v/>
      </c>
      <c r="V147" s="237"/>
      <c r="W147" s="221"/>
      <c r="X147" s="225"/>
      <c r="Y147" s="226"/>
      <c r="Z147" s="227"/>
      <c r="AA147" s="229"/>
      <c r="AB147" s="231"/>
      <c r="AC147" s="226"/>
      <c r="AD147" s="227"/>
      <c r="AE147" s="233"/>
      <c r="AF147" s="124" t="str">
        <f>IF(OR(AF146="",AG142&lt;&gt;""),"",AF146*AQ147/SQRT(AT146^2+AT147^2))</f>
        <v/>
      </c>
      <c r="AG147" s="205" t="str">
        <f>IF(AG146="","",100*AG146*AQ147/BA148)</f>
        <v/>
      </c>
      <c r="AH147" s="206"/>
      <c r="AI147" s="207" t="str">
        <f>IF(BA148=0,"",IF(AI142="",AX148/SQRT(AT146^2+AT147^2),IF(AI150="","",IF(AT146&lt;0,-AX146*AQ143/SQRT(AT146^2+AT147^2),AX146*AQ143/SQRT(AT146^2+AT147^2)))))</f>
        <v/>
      </c>
      <c r="AJ147" s="203"/>
      <c r="AK147" s="204"/>
      <c r="AL147" s="125"/>
      <c r="AM147" s="59"/>
      <c r="AN147" s="107" t="b">
        <f>IF(BA146="","",IF(AND(BA146=1,F148=50,L146="油入自冷"),VLOOKUP(L148,変１,3,FALSE),IF(AND(BA146=1,F148=50,L146="モ－ルド絶縁"),VLOOKUP(L148,変１,8,FALSE),IF(AND(BA146=1,F148=60,L146="油入自冷"),VLOOKUP(L148,変１,13,FALSE),IF(AND(BA146=1,F148=60,L146="モ－ルド絶縁"),VLOOKUP(L148,変１,18,FALSE),FALSE)))))</f>
        <v>0</v>
      </c>
      <c r="AO147" s="107">
        <f>IF(ISNA(VLOOKUP(L148,変ＵＳＥＲ,3,FALSE)),0,VLOOKUP(L148,変ＵＳＥＲ,3,FALSE)*BA149/50)</f>
        <v>0</v>
      </c>
      <c r="AP147" s="108">
        <f>IF(W146="",0,W146*1000/BA148^2/SQRT(BA146))</f>
        <v>0</v>
      </c>
      <c r="AQ147" s="107">
        <f>IF(AND(BA146=1,BA147=2),1,IF(AND(BA146=3,BA147=3),1,IF(AND(BA146=1,BA147=3),2,IF(AND(BA146=3,BA147=4)*OR(BB146=1,BB147=1,BB148=1,BB149=1),1,SQRT(3)))))</f>
        <v>1.7320508075688772</v>
      </c>
      <c r="AR147" s="109" t="str">
        <f>IF(X146="","",IF(X146="600V IV",VLOOKUP(X148,ＩＶ,3,FALSE),IF(X146="600V CV-T",VLOOKUP(X148,ＣＶＴ,3,FALSE),IF(OR(X146="600V CV-1C",X146="600V CV-2C",X146="600V CV-3C",X146="600V CV-4C"),VLOOKUP(X148,ＣＶ２３Ｃ,3,FALSE),VLOOKUP(X148,ＣＵＳＥＲ,3,FALSE)))))</f>
        <v/>
      </c>
      <c r="AS147" s="107" t="str">
        <f>IF(AD149="",AP149,AP149+(AD149/1000))</f>
        <v/>
      </c>
      <c r="AT147" s="110" t="str">
        <f>IF(AU149="",AT149,AU149)</f>
        <v/>
      </c>
      <c r="AU147" s="110" t="str">
        <f>IF(D146="","",IF(AND(D206="",D210&lt;&gt;"",AV149=AV213),AT211,IF(AND(D206="",D210="",D214&lt;&gt;"",AV209=AV217),AT215,IF(AND(D206="",D210="",D214="",D218&lt;&gt;"",AV213=AV221),AT219,IF(AND(D206="",D210="",D214="",D218="",D222&lt;&gt;"",AV217=AV225),AT223,IF(AND(D206="",D210="",D214="",D218="",D222="",D226&lt;&gt;"",AV221=AV229),AT227,IF(AND(D206="",D210="",D214="",D218="",D222="",D226="",D230&lt;&gt;"",AV225=AV233),AT231,"")))))))</f>
        <v/>
      </c>
      <c r="AV147" s="109" t="str">
        <f>IF(L146="発電機",IF(ISNA(VLOOKUP(L148,ＡＣＧ,3,FALSE)),0,VLOOKUP(L148,ＡＣＧ,3,FALSE)*BA149/50),"")</f>
        <v/>
      </c>
      <c r="AW147" s="111" t="str">
        <f>IF(AT147="","",(AT147-AP146*(AT146^2+AT147^2))/((AT146*AP146)^2+(AP146*AT147-1)^2))</f>
        <v/>
      </c>
      <c r="AX147" s="112"/>
      <c r="AY147" s="113">
        <f>IF(N(AY149)=10^30,10^30,IF(N(AY209)=10^30,(N(AY149)*(N(AY208)^2+N(AY209)^2)+N(AY209)*(N(AY148)^2+N(AY149)^2))/((N(AY148)+N(AY208))^2+(N(AY149)+N(AY209))^2),(N(AY149)*(N(AY206)^2+N(AY207)^2)+N(AY207)*(N(AY148)^2+N(AY149)^2))/((N(AY148)+N(AY206))^2+(N(AY149)+N(AY207))^2)))</f>
        <v>1E+30</v>
      </c>
      <c r="AZ147" s="52"/>
      <c r="BA147" s="114">
        <f>IF(AND(H146="",SUM(S146:S149)&lt;&gt;0),BA143,H146)</f>
        <v>0</v>
      </c>
      <c r="BB147" s="115">
        <f>IF(AND(BA146=3,S147&lt;&gt;""),1,0)</f>
        <v>0</v>
      </c>
      <c r="BC147" s="52"/>
      <c r="BD147" s="52"/>
      <c r="BH147" s="162"/>
      <c r="BI147" s="162"/>
      <c r="BJ147" s="4"/>
      <c r="BK147" s="4"/>
    </row>
    <row r="148" spans="1:63" ht="15" customHeight="1" x14ac:dyDescent="0.15">
      <c r="A148" s="159"/>
      <c r="B148" s="159"/>
      <c r="C148" s="245"/>
      <c r="D148" s="432"/>
      <c r="E148" s="448"/>
      <c r="F148" s="438"/>
      <c r="G148" s="438"/>
      <c r="H148" s="438"/>
      <c r="I148" s="438"/>
      <c r="J148" s="438"/>
      <c r="K148" s="439"/>
      <c r="L148" s="440"/>
      <c r="M148" s="441"/>
      <c r="N148" s="437"/>
      <c r="O148" s="171"/>
      <c r="P148" s="196"/>
      <c r="Q148" s="177"/>
      <c r="R148" s="173"/>
      <c r="S148" s="174" t="str">
        <f t="shared" si="6"/>
        <v/>
      </c>
      <c r="T148" s="175"/>
      <c r="U148" s="178" t="str">
        <f>IF(OR(BA148="",S148=""),"",S148*1000*T148/(SQRT(BA146)*BA148))</f>
        <v/>
      </c>
      <c r="V148" s="179" t="str">
        <f>IF(AND(N(U146)=0,N(U147)=0,N(U148)=0,N(U149)=0),"",V146*(P146*R146*T146+P147*R147*T147+P148*R148*T148+P149*R149*T149)/(P146*T146+P147*T147+P148*T148+P149*T149))</f>
        <v/>
      </c>
      <c r="W148" s="209" t="str">
        <f>IF(AND(N(AP148)=0,N(AP149)=0,N(AP147)=0),"",IF(AP149&gt;=0,COS(ATAN(AP149/AP148)),-COS(ATAN(AP149/AP148))))</f>
        <v/>
      </c>
      <c r="X148" s="180"/>
      <c r="Y148" s="181"/>
      <c r="Z148" s="182"/>
      <c r="AA148" s="183"/>
      <c r="AB148" s="184"/>
      <c r="AC148" s="181"/>
      <c r="AD148" s="182"/>
      <c r="AE148" s="185"/>
      <c r="AF148" s="136" t="str">
        <f>IF(OR(AF146="",AG142&lt;&gt;""),"",BA148/SQRT(AW148^2+AW149^2))</f>
        <v/>
      </c>
      <c r="AG148" s="205" t="str">
        <f>IF(AG146="","",100*((BA148/AQ147)-AG146)/(BA148/AQ147))</f>
        <v/>
      </c>
      <c r="AH148" s="206"/>
      <c r="AI148" s="208"/>
      <c r="AJ148" s="211"/>
      <c r="AK148" s="213"/>
      <c r="AL148" s="137"/>
      <c r="AM148" s="59"/>
      <c r="AN148" s="138" t="b">
        <f>IF(BA146="","",IF(AND(BA146=3,F148=50,L146="油入自冷"),VLOOKUP(L148,変３,2,FALSE),IF(AND(BA146=3,F148=50,L146="モ－ルド絶縁"),VLOOKUP(L148,変３,7,FALSE),IF(AND(BA146=3,F148=60,L146="油入自冷"),VLOOKUP(L148,変３,12,FALSE),IF(AND(BA146=3,F148=60,L146="モ－ルド絶縁"),VLOOKUP(L148,変３,17,FALSE),FALSE)))))</f>
        <v>0</v>
      </c>
      <c r="AO148" s="109" t="str">
        <f>IF(AND(L142="",N(AY146)&lt;10^29),AY146,"")</f>
        <v/>
      </c>
      <c r="AP148" s="139" t="str">
        <f>IF(V146="","",IF(AND(N(V148)=0,N(AP147)=0),"",AQ148/((AQ148*AP147)^2+(AP147*AQ149-1)^2)))</f>
        <v/>
      </c>
      <c r="AQ148" s="107">
        <f>IF(N(V148)=0,10^30,V148)</f>
        <v>1E+30</v>
      </c>
      <c r="AR148" s="109" t="str">
        <f>IF(AB146="","",IF(AB146="600V IV",VLOOKUP(AB148,ＩＶ,2,FALSE),IF(AB146="600V CV-T",VLOOKUP(AB148,ＣＶＴ,2,FALSE),IF(OR(AB146="600V CV-1C",AB146="600V CV-2C",AB146="600V CV-3C",AB146="600V CV-4C"),VLOOKUP(AB148,ＣＶ２３Ｃ,2,FALSE),VLOOKUP(AB148,ＣＵＳＥＲ,2,FALSE)))))</f>
        <v/>
      </c>
      <c r="AS148" s="107" t="str">
        <f>IF(OR(AND(AS206="",AS207=""),AND(D146="",D206&lt;&gt;"")),AS146,(AS146*(AT206^2+AT207^2)+AT206*(AS146^2+AS147^2))/((AS146+AT206)^2+(AS147+AT207)^2))</f>
        <v/>
      </c>
      <c r="AT148" s="110" t="str">
        <f>IF(X149="",AS148,N(AS148)+(X149/1000))</f>
        <v/>
      </c>
      <c r="AU148" s="110" t="str">
        <f>IF(AU146="","",(AT148*(AU146^2+AU147^2)+AU146*(AT148^2+AT149^2))/((AT148+AU146)^2+(AT149+AU147)^2))</f>
        <v/>
      </c>
      <c r="AV148" s="110">
        <f>IF(BA148=0,1,0)</f>
        <v>1</v>
      </c>
      <c r="AW148" s="111" t="str">
        <f>IF(AO148="","",AW146+AO148)</f>
        <v/>
      </c>
      <c r="AX148" s="112" t="str">
        <f>IF(AND(AX144="",AW148&lt;&gt;""),BA148*SQRT(AW146^2+AW147^2)/SQRT(AW148^2+AW149^2),IF(BA148&lt;&gt;0,AX144,""))</f>
        <v/>
      </c>
      <c r="AY148" s="140">
        <f>IF(L148="",10^30,SQRT(BA146)*(BA148^2)*(N(AN146)+N(AN148)+N(AO146)+N(AV146))/(100000*L148*M146))</f>
        <v>1E+30</v>
      </c>
      <c r="AZ148" s="141"/>
      <c r="BA148" s="114">
        <f>IF(AND(J146="",SUM(S146:S149)&lt;&gt;0),BA144,J146)</f>
        <v>0</v>
      </c>
      <c r="BB148" s="115">
        <f>IF(AND(BA146=3,S148&lt;&gt;""),1,0)</f>
        <v>0</v>
      </c>
      <c r="BC148" s="52"/>
      <c r="BD148" s="52"/>
      <c r="BH148" s="162"/>
      <c r="BI148" s="162"/>
      <c r="BJ148" s="4"/>
      <c r="BK148" s="4"/>
    </row>
    <row r="149" spans="1:63" ht="15" customHeight="1" x14ac:dyDescent="0.15">
      <c r="A149" s="159"/>
      <c r="B149" s="159"/>
      <c r="C149" s="245"/>
      <c r="D149" s="442"/>
      <c r="E149" s="449"/>
      <c r="F149" s="444"/>
      <c r="G149" s="444"/>
      <c r="H149" s="444"/>
      <c r="I149" s="444"/>
      <c r="J149" s="444"/>
      <c r="K149" s="445"/>
      <c r="L149" s="238" t="str">
        <f>IF(M146="","",L148*1000*M146/(SQRT(BA146)*BA148))</f>
        <v/>
      </c>
      <c r="M149" s="239"/>
      <c r="N149" s="446"/>
      <c r="O149" s="186"/>
      <c r="P149" s="197"/>
      <c r="Q149" s="187"/>
      <c r="R149" s="188"/>
      <c r="S149" s="189" t="str">
        <f t="shared" si="6"/>
        <v/>
      </c>
      <c r="T149" s="190"/>
      <c r="U149" s="191" t="str">
        <f>IF(OR(BA148="",S149=""),"",S149*1000*T149/(SQRT(BA146)*BA148))</f>
        <v/>
      </c>
      <c r="V149" s="192" t="str">
        <f>IF(AND(N(U146)=0,N(U147)=0,N(U148)=0,N(U149)=0),"",IF(V146&gt;=0,SQRT(ABS(V146^2-V148^2)),-SQRT(V146^2-V148^2)))</f>
        <v/>
      </c>
      <c r="W149" s="210"/>
      <c r="X149" s="215" t="str">
        <f>IF(Y148="","",AQ146*Z148*AR146*((1+0.00393*(F149-20))/1.2751)/Y148)</f>
        <v/>
      </c>
      <c r="Y149" s="216"/>
      <c r="Z149" s="217" t="str">
        <f>IF(Y148="","",(BA149/50)*AQ146*Z148*AR147/Y148)</f>
        <v/>
      </c>
      <c r="AA149" s="218"/>
      <c r="AB149" s="219" t="str">
        <f>IF(AC148="","",AQ146*AD148*AR148*((1+0.00393*(F149-20))/1.2751)/AC148)</f>
        <v/>
      </c>
      <c r="AC149" s="216"/>
      <c r="AD149" s="217" t="str">
        <f>IF(AC148="","",(BA149/50)*AQ146*AD148*AR149/AC148)</f>
        <v/>
      </c>
      <c r="AE149" s="242"/>
      <c r="AF149" s="150" t="str">
        <f>IF(AND(AX146&lt;&gt;"",D146=""),AX146,"")</f>
        <v/>
      </c>
      <c r="AG149" s="243" t="str">
        <f>IF(AP148="","",AP148)</f>
        <v/>
      </c>
      <c r="AH149" s="244"/>
      <c r="AI149" s="151" t="str">
        <f>IF(AP149="","",AP149)</f>
        <v/>
      </c>
      <c r="AJ149" s="212"/>
      <c r="AK149" s="214"/>
      <c r="AL149" s="152"/>
      <c r="AM149" s="59"/>
      <c r="AN149" s="153" t="b">
        <f>IF(BA146="","",IF(AND(BA146=3,F148=50,L146="油入自冷"),VLOOKUP(L148,変３,3,FALSE),IF(AND(BA146=3,F148=50,L146="モ－ルド絶縁"),VLOOKUP(L148,変３,8,FALSE),IF(AND(BA146=3,F148=60,L146="油入自冷"),VLOOKUP(L148,変３,13,FALSE),IF(AND(BA146=3,F148=60,L146="モ－ルド絶縁"),VLOOKUP(L148,変３,18,FALSE),FALSE)))))</f>
        <v>0</v>
      </c>
      <c r="AO149" s="153" t="str">
        <f>IF(AND(L142="",N(AY147)&lt;10^29),AY147,"")</f>
        <v/>
      </c>
      <c r="AP149" s="154" t="str">
        <f>IF(V146="","",IF(AND(N(V149)=0,N(AP147)=0),0,(AQ149-AP147*(AQ148^2+AQ149^2))/((AQ148*AP147)^2+(AP147*AQ149-1)^2)))</f>
        <v/>
      </c>
      <c r="AQ149" s="155">
        <f>IF(N(V149)=0,10^30,V149)</f>
        <v>1E+30</v>
      </c>
      <c r="AR149" s="153" t="str">
        <f>IF(AB146="","",IF(AB146="600V IV",VLOOKUP(AB148,ＩＶ,3,FALSE),IF(AB146="600V CV-T",VLOOKUP(AB148,ＣＶＴ,3,FALSE),IF(OR(AB146="600V CV-1C",AB146="600V CV-2C",AB146="600V CV-3C",AB146="600V CV-4C"),VLOOKUP(AB148,ＣＶ２３Ｃ,3,FALSE),VLOOKUP(AB148,ＣＵＳＥＲ,3,FALSE)))))</f>
        <v/>
      </c>
      <c r="AS149" s="155" t="str">
        <f>IF(OR(AND(AS206="",AS207=""),AND(D146="",D206&lt;&gt;"")),AS147,(AS147*(AT206^2+AT207^2)+AT207*(AS146^2+AS147^2))/((AS146+AT206)^2+(AS147+AT207)^2))</f>
        <v/>
      </c>
      <c r="AT149" s="156" t="str">
        <f>IF(Z149="",AS149,N(AS149)+(Z149/1000))</f>
        <v/>
      </c>
      <c r="AU149" s="156" t="str">
        <f>IF(AU147="","",(AT149*(AU146^2+AU147^2)+AU147*(AT148^2+AT149^2))/((AT148+AU146)^2+(AT149+AU147)^2))</f>
        <v/>
      </c>
      <c r="AV149" s="156">
        <f>AV145+AV148</f>
        <v>15</v>
      </c>
      <c r="AW149" s="155" t="str">
        <f>IF(AO149="","",AW147+AO149)</f>
        <v/>
      </c>
      <c r="AX149" s="157"/>
      <c r="AY149" s="140">
        <f>IF(L148="",10^30,SQRT(BA146)*(BA148^2)*(N(AN147)+N(AN149)+N(AO147)+N(AV147))/(100000*L148*M146))</f>
        <v>1E+30</v>
      </c>
      <c r="AZ149" s="141"/>
      <c r="BA149" s="114">
        <f>IF(AND(F148="",SUM(S146:S149)&lt;&gt;0),BA145,F148)</f>
        <v>0</v>
      </c>
      <c r="BB149" s="115">
        <f>IF(AND(BA146=3,S149&lt;&gt;""),1,0)</f>
        <v>0</v>
      </c>
      <c r="BC149" s="52"/>
      <c r="BD149" s="52"/>
      <c r="BH149" s="162"/>
      <c r="BI149" s="162"/>
      <c r="BJ149" s="4"/>
      <c r="BK149" s="4"/>
    </row>
    <row r="150" spans="1:63" ht="15" customHeight="1" x14ac:dyDescent="0.15">
      <c r="A150" s="159"/>
      <c r="B150" s="159"/>
      <c r="C150" s="245" t="str">
        <f>IF(BH150=1,"●","・")</f>
        <v>・</v>
      </c>
      <c r="D150" s="425"/>
      <c r="E150" s="447"/>
      <c r="F150" s="427"/>
      <c r="G150" s="240" t="str">
        <f>IF(F150="","","φ")</f>
        <v/>
      </c>
      <c r="H150" s="428"/>
      <c r="I150" s="240" t="str">
        <f>IF(H150="","","W")</f>
        <v/>
      </c>
      <c r="J150" s="428"/>
      <c r="K150" s="246" t="str">
        <f>IF(J150="","","V")</f>
        <v/>
      </c>
      <c r="L150" s="429"/>
      <c r="M150" s="430"/>
      <c r="N150" s="431"/>
      <c r="O150" s="164"/>
      <c r="P150" s="194"/>
      <c r="Q150" s="165"/>
      <c r="R150" s="166"/>
      <c r="S150" s="167" t="str">
        <f>IF(R150="","",IF(Q150="",P150/R150,P150/(Q150*R150)))</f>
        <v/>
      </c>
      <c r="T150" s="168"/>
      <c r="U150" s="169" t="str">
        <f>IF(OR(BA152="",S150=""),"",S150*1000*T150/(SQRT(BA150)*BA152))</f>
        <v/>
      </c>
      <c r="V150" s="236" t="str">
        <f>IF(AND(N(U150)=0,N(U151)=0,N(U152)=0,N(U153)=0),"",BA152/(SUM(U150:U153)))</f>
        <v/>
      </c>
      <c r="W150" s="220"/>
      <c r="X150" s="222"/>
      <c r="Y150" s="223"/>
      <c r="Z150" s="224"/>
      <c r="AA150" s="228"/>
      <c r="AB150" s="230"/>
      <c r="AC150" s="223"/>
      <c r="AD150" s="224"/>
      <c r="AE150" s="232"/>
      <c r="AF150" s="104" t="str">
        <f>IF(OR(AND(AF146="",N(BA148)=0,BA152&lt;&gt;0),D150&lt;&gt;""),AX152/AQ151,"")</f>
        <v/>
      </c>
      <c r="AG150" s="234" t="str">
        <f>IF(BA152=0,"",IF(AD152="",AX150,IF(AND(D150&lt;&gt;"",AU150=""),AX152*SQRT(AP152^2+AP153^2)/SQRT(AS150^2+AS151^2)/AQ151,AX150*SQRT(AP152^2+AP153^2)/SQRT(AS150^2+AS151^2))))</f>
        <v/>
      </c>
      <c r="AH150" s="235"/>
      <c r="AI150" s="105" t="str">
        <f>IF(AG150="","",IF(N(U150)&lt;0,-AX150*AQ151/SQRT(AS150^2+AS151^2),AX150*AQ151/SQRT(AS150^2+AS151^2)))</f>
        <v/>
      </c>
      <c r="AJ150" s="201"/>
      <c r="AK150" s="202"/>
      <c r="AL150" s="106"/>
      <c r="AM150" s="59"/>
      <c r="AN150" s="107" t="b">
        <f>IF(BA150="","",IF(AND(BA150=1,F152=50,L150="油入自冷"),VLOOKUP(L152,変１,2,FALSE),IF(AND(BA150=1,F152=50,L150="モ－ルド絶縁"),VLOOKUP(L152,変１,7,FALSE),IF(AND(BA150=1,F152=60,L150="油入自冷"),VLOOKUP(L152,変１,12,FALSE),IF(AND(BA150=1,F152=60,L150="モ－ルド絶縁"),VLOOKUP(L152,変１,17,FALSE),FALSE)))))</f>
        <v>0</v>
      </c>
      <c r="AO150" s="107">
        <f>IF(ISNA(VLOOKUP(L152,変ＵＳＥＲ,2,FALSE)),0,VLOOKUP(L152,変ＵＳＥＲ,2,FALSE))</f>
        <v>0</v>
      </c>
      <c r="AP150" s="108">
        <f>IF(N150="",0,N150*1000/BA152^2/SQRT(BA150))</f>
        <v>0</v>
      </c>
      <c r="AQ150" s="107" t="b">
        <f>IF(BA150=1,2,IF(BA150=3,SQRT(3),FALSE))</f>
        <v>0</v>
      </c>
      <c r="AR150" s="109" t="str">
        <f>IF(X150="","",IF(X150="600V IV",VLOOKUP(X152,ＩＶ,2,FALSE),IF(X150="600V CV-T",VLOOKUP(X152,ＣＶＴ,2,FALSE),IF(OR(X150="600V CV-1C",X150="600V CV-2C",X150="600V CV-3C",X150="600V CV-4C"),VLOOKUP(X152,ＣＶ２３Ｃ,2,FALSE),VLOOKUP(X152,ＣＵＳＥＲ,2,FALSE)))))</f>
        <v/>
      </c>
      <c r="AS150" s="107" t="str">
        <f>IF(AB153="",AP152,AP152+(AB153/1000))</f>
        <v/>
      </c>
      <c r="AT150" s="110" t="str">
        <f>IF(AU152="",AT152,AU152)</f>
        <v/>
      </c>
      <c r="AU150" s="110" t="str">
        <f>IF(D150="","",IF(AND(D210="",D214&lt;&gt;"",AV153=AV217),AT214,IF(AND(D210="",D214="",D218&lt;&gt;"",AV213=AV221),AT218,IF(AND(D210="",D214="",D218="",D222&lt;&gt;"",AV217=AV225),AT222,IF(AND(D210="",D214="",D218="",D222="",D226&lt;&gt;"",AV221=AV229),AT226,IF(AND(D210="",D214="",D218="",D222="",D226="",D230&lt;&gt;"",AV225=AV233),AT230,IF(AND(D210="",D214="",D218="",D222="",D226="",D230="",D234&lt;&gt;"",AV229=AV237),AT234,"")))))))</f>
        <v/>
      </c>
      <c r="AV150" s="110" t="str">
        <f>IF(L150="発電機",IF(ISNA(VLOOKUP(L152,ＡＣＧ,2,FALSE)),0,VLOOKUP(L152,ＡＣＧ,2,FALSE)),"")</f>
        <v/>
      </c>
      <c r="AW150" s="111" t="str">
        <f>IF(AT150="","",AT150/((AT150*AP150)^2+(AT151*AP150-1)^2))</f>
        <v/>
      </c>
      <c r="AX150" s="112" t="str">
        <f>IF(BA152=0,"",IF(OR(AX146="",AF150&lt;&gt;""),AF150*SQRT(AS152^2+AS153^2)/SQRT(AT152^2+AT153^2),AX146*SQRT(AS152^2+AS153^2)/SQRT(AT152^2+AT153^2)))</f>
        <v/>
      </c>
      <c r="AY150" s="113">
        <f>IF(N(AY152)=10^30,10^30,IF(N(AY212)=10^30,(N(AY152)*(N(AY212)^2+N(AY213)^2)+N(AY212)*(N(AY152)^2+N(AY153)^2))/((N(AY152)+N(AY212))^2+(N(AY153)+N(AY213))^2),(N(AY152)*(N(AY210)^2+N(AY211)^2)+N(AY210)*(N(AY152)^2+N(AY153)^2))/((N(AY152)+N(AY210))^2+(N(AY153)+N(AY211))^2)))</f>
        <v>1E+30</v>
      </c>
      <c r="AZ150" s="52"/>
      <c r="BA150" s="114">
        <f>IF(AND(F150="",SUM(S150:S153)&lt;&gt;0),BA146,F150)</f>
        <v>0</v>
      </c>
      <c r="BB150" s="115">
        <f>IF(AND(BA150=3,S150&lt;&gt;""),1,0)</f>
        <v>0</v>
      </c>
      <c r="BC150" s="52"/>
      <c r="BD150" s="52"/>
      <c r="BH150" s="162">
        <f>IF(OR(E150="",F153="",AND(OR(P150="",Q150="",R150="",T150=""),OR(P151="",Q151="",R151="",T151=""),OR(P152="",Q152="",R152="",T152=""),OR(P153="",Q153="",R153="",T153="")),AND(OR(X150="",X152="",Y152="",Z152=""),OR(AB150="",AB152="",AC152="",AD152=""))),0,1)</f>
        <v>0</v>
      </c>
      <c r="BI150" s="162">
        <f>BH150+BI146</f>
        <v>4</v>
      </c>
      <c r="BJ150" s="4"/>
      <c r="BK150" s="4"/>
    </row>
    <row r="151" spans="1:63" ht="15" customHeight="1" x14ac:dyDescent="0.15">
      <c r="A151" s="159"/>
      <c r="B151" s="159"/>
      <c r="C151" s="245"/>
      <c r="D151" s="432"/>
      <c r="E151" s="448"/>
      <c r="F151" s="434"/>
      <c r="G151" s="241"/>
      <c r="H151" s="435"/>
      <c r="I151" s="241"/>
      <c r="J151" s="435"/>
      <c r="K151" s="247"/>
      <c r="L151" s="436"/>
      <c r="M151" s="170" t="str">
        <f>IF(L150="発電機",SQRT(AV150^2+AV151^2),IF(L152="","",IF(OR(L150="油入自冷",L150="モ－ルド絶縁"),IF(BA150=1,SQRT(AN150^2+AN151^2),IF(BA150=3,SQRT(AN152^2+AN153^2))),SQRT(AO150^2+AO151^2))))</f>
        <v/>
      </c>
      <c r="N151" s="437"/>
      <c r="O151" s="171"/>
      <c r="P151" s="195"/>
      <c r="Q151" s="172"/>
      <c r="R151" s="173"/>
      <c r="S151" s="174" t="str">
        <f t="shared" si="6"/>
        <v/>
      </c>
      <c r="T151" s="175"/>
      <c r="U151" s="176" t="str">
        <f>IF(OR(BA152="",S151=""),"",S151*1000*T151/(SQRT(BA150)*BA152))</f>
        <v/>
      </c>
      <c r="V151" s="237"/>
      <c r="W151" s="221"/>
      <c r="X151" s="225"/>
      <c r="Y151" s="226"/>
      <c r="Z151" s="227"/>
      <c r="AA151" s="229"/>
      <c r="AB151" s="231"/>
      <c r="AC151" s="226"/>
      <c r="AD151" s="227"/>
      <c r="AE151" s="233"/>
      <c r="AF151" s="124" t="str">
        <f>IF(OR(AF150="",AG146&lt;&gt;""),"",AF150*AQ151/SQRT(AT150^2+AT151^2))</f>
        <v/>
      </c>
      <c r="AG151" s="205" t="str">
        <f>IF(AG150="","",100*AG150*AQ151/BA152)</f>
        <v/>
      </c>
      <c r="AH151" s="206"/>
      <c r="AI151" s="207" t="str">
        <f>IF(BA152=0,"",IF(AI146="",AX152/SQRT(AT150^2+AT151^2),IF(AI154="","",IF(AT150&lt;0,-AX150*AQ147/SQRT(AT150^2+AT151^2),AX150*AQ147/SQRT(AT150^2+AT151^2)))))</f>
        <v/>
      </c>
      <c r="AJ151" s="203"/>
      <c r="AK151" s="204"/>
      <c r="AL151" s="125"/>
      <c r="AM151" s="59"/>
      <c r="AN151" s="107" t="b">
        <f>IF(BA150="","",IF(AND(BA150=1,F152=50,L150="油入自冷"),VLOOKUP(L152,変１,3,FALSE),IF(AND(BA150=1,F152=50,L150="モ－ルド絶縁"),VLOOKUP(L152,変１,8,FALSE),IF(AND(BA150=1,F152=60,L150="油入自冷"),VLOOKUP(L152,変１,13,FALSE),IF(AND(BA150=1,F152=60,L150="モ－ルド絶縁"),VLOOKUP(L152,変１,18,FALSE),FALSE)))))</f>
        <v>0</v>
      </c>
      <c r="AO151" s="107">
        <f>IF(ISNA(VLOOKUP(L152,変ＵＳＥＲ,3,FALSE)),0,VLOOKUP(L152,変ＵＳＥＲ,3,FALSE)*BA153/50)</f>
        <v>0</v>
      </c>
      <c r="AP151" s="108">
        <f>IF(W150="",0,W150*1000/BA152^2/SQRT(BA150))</f>
        <v>0</v>
      </c>
      <c r="AQ151" s="107">
        <f>IF(AND(BA150=1,BA151=2),1,IF(AND(BA150=3,BA151=3),1,IF(AND(BA150=1,BA151=3),2,IF(AND(BA150=3,BA151=4)*OR(BB150=1,BB151=1,BB152=1,BB153=1),1,SQRT(3)))))</f>
        <v>1.7320508075688772</v>
      </c>
      <c r="AR151" s="109" t="str">
        <f>IF(X150="","",IF(X150="600V IV",VLOOKUP(X152,ＩＶ,3,FALSE),IF(X150="600V CV-T",VLOOKUP(X152,ＣＶＴ,3,FALSE),IF(OR(X150="600V CV-1C",X150="600V CV-2C",X150="600V CV-3C",X150="600V CV-4C"),VLOOKUP(X152,ＣＶ２３Ｃ,3,FALSE),VLOOKUP(X152,ＣＵＳＥＲ,3,FALSE)))))</f>
        <v/>
      </c>
      <c r="AS151" s="107" t="str">
        <f>IF(AD153="",AP153,AP153+(AD153/1000))</f>
        <v/>
      </c>
      <c r="AT151" s="110" t="str">
        <f>IF(AU153="",AT153,AU153)</f>
        <v/>
      </c>
      <c r="AU151" s="110" t="str">
        <f>IF(D150="","",IF(AND(D210="",D214&lt;&gt;"",AV153=AV217),AT215,IF(AND(D210="",D214="",D218&lt;&gt;"",AV213=AV221),AT219,IF(AND(D210="",D214="",D218="",D222&lt;&gt;"",AV217=AV225),AT223,IF(AND(D210="",D214="",D218="",D222="",D226&lt;&gt;"",AV221=AV229),AT227,IF(AND(D210="",D214="",D218="",D222="",D226="",D230&lt;&gt;"",AV225=AV233),AT231,IF(AND(D210="",D214="",D218="",D222="",D226="",D230="",D234&lt;&gt;"",AV229=AV237),AT235,"")))))))</f>
        <v/>
      </c>
      <c r="AV151" s="109" t="str">
        <f>IF(L150="発電機",IF(ISNA(VLOOKUP(L152,ＡＣＧ,3,FALSE)),0,VLOOKUP(L152,ＡＣＧ,3,FALSE)*BA153/50),"")</f>
        <v/>
      </c>
      <c r="AW151" s="111" t="str">
        <f>IF(AT151="","",(AT151-AP150*(AT150^2+AT151^2))/((AT150*AP150)^2+(AP150*AT151-1)^2))</f>
        <v/>
      </c>
      <c r="AX151" s="112"/>
      <c r="AY151" s="113">
        <f>IF(N(AY153)=10^30,10^30,IF(N(AY213)=10^30,(N(AY153)*(N(AY212)^2+N(AY213)^2)+N(AY213)*(N(AY152)^2+N(AY153)^2))/((N(AY152)+N(AY212))^2+(N(AY153)+N(AY213))^2),(N(AY153)*(N(AY210)^2+N(AY211)^2)+N(AY211)*(N(AY152)^2+N(AY153)^2))/((N(AY152)+N(AY210))^2+(N(AY153)+N(AY211))^2)))</f>
        <v>1E+30</v>
      </c>
      <c r="AZ151" s="52"/>
      <c r="BA151" s="114">
        <f>IF(AND(H150="",SUM(S150:S153)&lt;&gt;0),BA147,H150)</f>
        <v>0</v>
      </c>
      <c r="BB151" s="115">
        <f>IF(AND(BA150=3,S151&lt;&gt;""),1,0)</f>
        <v>0</v>
      </c>
      <c r="BC151" s="52"/>
      <c r="BD151" s="52"/>
      <c r="BH151" s="162"/>
      <c r="BI151" s="162"/>
      <c r="BJ151" s="4"/>
      <c r="BK151" s="4"/>
    </row>
    <row r="152" spans="1:63" ht="15" customHeight="1" x14ac:dyDescent="0.15">
      <c r="A152" s="159"/>
      <c r="B152" s="159"/>
      <c r="C152" s="245"/>
      <c r="D152" s="432"/>
      <c r="E152" s="448"/>
      <c r="F152" s="438"/>
      <c r="G152" s="438"/>
      <c r="H152" s="438"/>
      <c r="I152" s="438"/>
      <c r="J152" s="438"/>
      <c r="K152" s="439"/>
      <c r="L152" s="440"/>
      <c r="M152" s="441"/>
      <c r="N152" s="437"/>
      <c r="O152" s="171"/>
      <c r="P152" s="196"/>
      <c r="Q152" s="177"/>
      <c r="R152" s="173"/>
      <c r="S152" s="174" t="str">
        <f t="shared" si="6"/>
        <v/>
      </c>
      <c r="T152" s="175"/>
      <c r="U152" s="178" t="str">
        <f>IF(OR(BA152="",S152=""),"",S152*1000*T152/(SQRT(BA150)*BA152))</f>
        <v/>
      </c>
      <c r="V152" s="179" t="str">
        <f>IF(AND(N(U150)=0,N(U151)=0,N(U152)=0,N(U153)=0),"",V150*(P150*R150*T150+P151*R151*T151+P152*R152*T152+P153*R153*T153)/(P150*T150+P151*T151+P152*T152+P153*T153))</f>
        <v/>
      </c>
      <c r="W152" s="209" t="str">
        <f>IF(AND(N(AP152)=0,N(AP153)=0,N(AP151)=0),"",IF(AP153&gt;=0,COS(ATAN(AP153/AP152)),-COS(ATAN(AP153/AP152))))</f>
        <v/>
      </c>
      <c r="X152" s="180"/>
      <c r="Y152" s="181"/>
      <c r="Z152" s="182"/>
      <c r="AA152" s="183"/>
      <c r="AB152" s="184"/>
      <c r="AC152" s="181"/>
      <c r="AD152" s="182"/>
      <c r="AE152" s="185"/>
      <c r="AF152" s="136" t="str">
        <f>IF(OR(AF150="",AG146&lt;&gt;""),"",BA152/SQRT(AW152^2+AW153^2))</f>
        <v/>
      </c>
      <c r="AG152" s="205" t="str">
        <f>IF(AG150="","",100*((BA152/AQ151)-AG150)/(BA152/AQ151))</f>
        <v/>
      </c>
      <c r="AH152" s="206"/>
      <c r="AI152" s="208"/>
      <c r="AJ152" s="211"/>
      <c r="AK152" s="213"/>
      <c r="AL152" s="137"/>
      <c r="AM152" s="59"/>
      <c r="AN152" s="138" t="b">
        <f>IF(BA150="","",IF(AND(BA150=3,F152=50,L150="油入自冷"),VLOOKUP(L152,変３,2,FALSE),IF(AND(BA150=3,F152=50,L150="モ－ルド絶縁"),VLOOKUP(L152,変３,7,FALSE),IF(AND(BA150=3,F152=60,L150="油入自冷"),VLOOKUP(L152,変３,12,FALSE),IF(AND(BA150=3,F152=60,L150="モ－ルド絶縁"),VLOOKUP(L152,変３,17,FALSE),FALSE)))))</f>
        <v>0</v>
      </c>
      <c r="AO152" s="109" t="str">
        <f>IF(AND(L146="",N(AY150)&lt;10^29),AY150,"")</f>
        <v/>
      </c>
      <c r="AP152" s="139" t="str">
        <f>IF(V150="","",IF(AND(N(V152)=0,N(AP151)=0),"",AQ152/((AQ152*AP151)^2+(AP151*AQ153-1)^2)))</f>
        <v/>
      </c>
      <c r="AQ152" s="107">
        <f>IF(N(V152)=0,10^30,V152)</f>
        <v>1E+30</v>
      </c>
      <c r="AR152" s="109" t="str">
        <f>IF(AB150="","",IF(AB150="600V IV",VLOOKUP(AB152,ＩＶ,2,FALSE),IF(AB150="600V CV-T",VLOOKUP(AB152,ＣＶＴ,2,FALSE),IF(OR(AB150="600V CV-1C",AB150="600V CV-2C",AB150="600V CV-3C",AB150="600V CV-4C"),VLOOKUP(AB152,ＣＶ２３Ｃ,2,FALSE),VLOOKUP(AB152,ＣＵＳＥＲ,2,FALSE)))))</f>
        <v/>
      </c>
      <c r="AS152" s="107" t="str">
        <f>IF(OR(AND(AS210="",AS211=""),AND(D150="",D210&lt;&gt;"")),AS150,(AS150*(AT210^2+AT211^2)+AT210*(AS150^2+AS151^2))/((AS150+AT210)^2+(AS151+AT211)^2))</f>
        <v/>
      </c>
      <c r="AT152" s="110" t="str">
        <f>IF(X153="",AS152,N(AS152)+(X153/1000))</f>
        <v/>
      </c>
      <c r="AU152" s="110" t="str">
        <f>IF(AU150="","",(AT152*(AU150^2+AU151^2)+AU150*(AT152^2+AT153^2))/((AT152+AU150)^2+(AT153+AU151)^2))</f>
        <v/>
      </c>
      <c r="AV152" s="110">
        <f>IF(BA152=0,1,0)</f>
        <v>1</v>
      </c>
      <c r="AW152" s="111" t="str">
        <f>IF(AO152="","",AW150+AO152)</f>
        <v/>
      </c>
      <c r="AX152" s="112" t="str">
        <f>IF(AND(AX148="",AW152&lt;&gt;""),BA152*SQRT(AW150^2+AW151^2)/SQRT(AW152^2+AW153^2),IF(BA152&lt;&gt;0,AX148,""))</f>
        <v/>
      </c>
      <c r="AY152" s="140">
        <f>IF(L152="",10^30,SQRT(BA150)*(BA152^2)*(N(AN150)+N(AN152)+N(AO150)+N(AV150))/(100000*L152*M150))</f>
        <v>1E+30</v>
      </c>
      <c r="AZ152" s="141"/>
      <c r="BA152" s="114">
        <f>IF(AND(J150="",SUM(S150:S153)&lt;&gt;0),BA148,J150)</f>
        <v>0</v>
      </c>
      <c r="BB152" s="115">
        <f>IF(AND(BA150=3,S152&lt;&gt;""),1,0)</f>
        <v>0</v>
      </c>
      <c r="BC152" s="52"/>
      <c r="BD152" s="52"/>
      <c r="BH152" s="162"/>
      <c r="BI152" s="162"/>
      <c r="BJ152" s="4"/>
      <c r="BK152" s="4"/>
    </row>
    <row r="153" spans="1:63" ht="15" customHeight="1" x14ac:dyDescent="0.15">
      <c r="A153" s="159"/>
      <c r="B153" s="159"/>
      <c r="C153" s="245"/>
      <c r="D153" s="442"/>
      <c r="E153" s="449"/>
      <c r="F153" s="444"/>
      <c r="G153" s="444"/>
      <c r="H153" s="444"/>
      <c r="I153" s="444"/>
      <c r="J153" s="444"/>
      <c r="K153" s="445"/>
      <c r="L153" s="238" t="str">
        <f>IF(M150="","",L152*1000*M150/(SQRT(BA150)*BA152))</f>
        <v/>
      </c>
      <c r="M153" s="239"/>
      <c r="N153" s="446"/>
      <c r="O153" s="186"/>
      <c r="P153" s="197"/>
      <c r="Q153" s="187"/>
      <c r="R153" s="188"/>
      <c r="S153" s="189" t="str">
        <f t="shared" si="6"/>
        <v/>
      </c>
      <c r="T153" s="190"/>
      <c r="U153" s="191" t="str">
        <f>IF(OR(BA152="",S153=""),"",S153*1000*T153/(SQRT(BA150)*BA152))</f>
        <v/>
      </c>
      <c r="V153" s="192" t="str">
        <f>IF(AND(N(U150)=0,N(U151)=0,N(U152)=0,N(U153)=0),"",IF(V150&gt;=0,SQRT(ABS(V150^2-V152^2)),-SQRT(V150^2-V152^2)))</f>
        <v/>
      </c>
      <c r="W153" s="210"/>
      <c r="X153" s="215" t="str">
        <f>IF(Y152="","",AQ150*Z152*AR150*((1+0.00393*(F153-20))/1.2751)/Y152)</f>
        <v/>
      </c>
      <c r="Y153" s="216"/>
      <c r="Z153" s="217" t="str">
        <f>IF(Y152="","",(BA153/50)*AQ150*Z152*AR151/Y152)</f>
        <v/>
      </c>
      <c r="AA153" s="218"/>
      <c r="AB153" s="219" t="str">
        <f>IF(AC152="","",AQ150*AD152*AR152*((1+0.00393*(F153-20))/1.2751)/AC152)</f>
        <v/>
      </c>
      <c r="AC153" s="216"/>
      <c r="AD153" s="217" t="str">
        <f>IF(AC152="","",(BA153/50)*AQ150*AD152*AR153/AC152)</f>
        <v/>
      </c>
      <c r="AE153" s="242"/>
      <c r="AF153" s="150" t="str">
        <f>IF(AND(AX150&lt;&gt;"",D150=""),AX150,"")</f>
        <v/>
      </c>
      <c r="AG153" s="243" t="str">
        <f>IF(AP152="","",AP152)</f>
        <v/>
      </c>
      <c r="AH153" s="244"/>
      <c r="AI153" s="151" t="str">
        <f>IF(AP153="","",AP153)</f>
        <v/>
      </c>
      <c r="AJ153" s="212"/>
      <c r="AK153" s="214"/>
      <c r="AL153" s="152"/>
      <c r="AM153" s="59"/>
      <c r="AN153" s="153" t="b">
        <f>IF(BA150="","",IF(AND(BA150=3,F152=50,L150="油入自冷"),VLOOKUP(L152,変３,3,FALSE),IF(AND(BA150=3,F152=50,L150="モ－ルド絶縁"),VLOOKUP(L152,変３,8,FALSE),IF(AND(BA150=3,F152=60,L150="油入自冷"),VLOOKUP(L152,変３,13,FALSE),IF(AND(BA150=3,F152=60,L150="モ－ルド絶縁"),VLOOKUP(L152,変３,18,FALSE),FALSE)))))</f>
        <v>0</v>
      </c>
      <c r="AO153" s="153" t="str">
        <f>IF(AND(L146="",N(AY151)&lt;10^29),AY151,"")</f>
        <v/>
      </c>
      <c r="AP153" s="154" t="str">
        <f>IF(V150="","",IF(AND(N(V153)=0,N(AP151)=0),0,(AQ153-AP151*(AQ152^2+AQ153^2))/((AQ152*AP151)^2+(AP151*AQ153-1)^2)))</f>
        <v/>
      </c>
      <c r="AQ153" s="155">
        <f>IF(N(V153)=0,10^30,V153)</f>
        <v>1E+30</v>
      </c>
      <c r="AR153" s="153" t="str">
        <f>IF(AB150="","",IF(AB150="600V IV",VLOOKUP(AB152,ＩＶ,3,FALSE),IF(AB150="600V CV-T",VLOOKUP(AB152,ＣＶＴ,3,FALSE),IF(OR(AB150="600V CV-1C",AB150="600V CV-2C",AB150="600V CV-3C",AB150="600V CV-4C"),VLOOKUP(AB152,ＣＶ２３Ｃ,3,FALSE),VLOOKUP(AB152,ＣＵＳＥＲ,3,FALSE)))))</f>
        <v/>
      </c>
      <c r="AS153" s="155" t="str">
        <f>IF(OR(AND(AS210="",AS211=""),AND(D150="",D210&lt;&gt;"")),AS151,(AS151*(AT210^2+AT211^2)+AT211*(AS150^2+AS151^2))/((AS150+AT210)^2+(AS151+AT211)^2))</f>
        <v/>
      </c>
      <c r="AT153" s="156" t="str">
        <f>IF(Z153="",AS153,N(AS153)+(Z153/1000))</f>
        <v/>
      </c>
      <c r="AU153" s="156" t="str">
        <f>IF(AU151="","",(AT153*(AU150^2+AU151^2)+AU151*(AT152^2+AT153^2))/((AT152+AU150)^2+(AT153+AU151)^2))</f>
        <v/>
      </c>
      <c r="AV153" s="156">
        <f>AV149+AV152</f>
        <v>16</v>
      </c>
      <c r="AW153" s="155" t="str">
        <f>IF(AO153="","",AW151+AO153)</f>
        <v/>
      </c>
      <c r="AX153" s="157"/>
      <c r="AY153" s="140">
        <f>IF(L152="",10^30,SQRT(BA150)*(BA152^2)*(N(AN151)+N(AN153)+N(AO151)+N(AV151))/(100000*L152*M150))</f>
        <v>1E+30</v>
      </c>
      <c r="AZ153" s="141"/>
      <c r="BA153" s="114">
        <f>IF(AND(F152="",SUM(S150:S153)&lt;&gt;0),BA149,F152)</f>
        <v>0</v>
      </c>
      <c r="BB153" s="115">
        <f>IF(AND(BA150=3,S153&lt;&gt;""),1,0)</f>
        <v>0</v>
      </c>
      <c r="BC153" s="52"/>
      <c r="BD153" s="52"/>
      <c r="BH153" s="162"/>
      <c r="BI153" s="162"/>
      <c r="BJ153" s="4"/>
      <c r="BK153" s="4"/>
    </row>
    <row r="154" spans="1:63" ht="15" customHeight="1" x14ac:dyDescent="0.15">
      <c r="A154" s="159"/>
      <c r="B154" s="159"/>
      <c r="C154" s="245" t="str">
        <f>IF(BH154=1,"●","・")</f>
        <v>・</v>
      </c>
      <c r="D154" s="425"/>
      <c r="E154" s="447"/>
      <c r="F154" s="427"/>
      <c r="G154" s="240" t="str">
        <f>IF(F154="","","φ")</f>
        <v/>
      </c>
      <c r="H154" s="428"/>
      <c r="I154" s="240" t="str">
        <f>IF(H154="","","W")</f>
        <v/>
      </c>
      <c r="J154" s="428"/>
      <c r="K154" s="246" t="str">
        <f>IF(J154="","","V")</f>
        <v/>
      </c>
      <c r="L154" s="429"/>
      <c r="M154" s="430"/>
      <c r="N154" s="431"/>
      <c r="O154" s="164"/>
      <c r="P154" s="194"/>
      <c r="Q154" s="165"/>
      <c r="R154" s="166"/>
      <c r="S154" s="167" t="str">
        <f>IF(R154="","",IF(Q154="",P154/R154,P154/(Q154*R154)))</f>
        <v/>
      </c>
      <c r="T154" s="168"/>
      <c r="U154" s="169" t="str">
        <f>IF(OR(BA156="",S154=""),"",S154*1000*T154/(SQRT(BA154)*BA156))</f>
        <v/>
      </c>
      <c r="V154" s="236" t="str">
        <f>IF(AND(N(U154)=0,N(U155)=0,N(U156)=0,N(U157)=0),"",BA156/(SUM(U154:U157)))</f>
        <v/>
      </c>
      <c r="W154" s="220"/>
      <c r="X154" s="222"/>
      <c r="Y154" s="223"/>
      <c r="Z154" s="224"/>
      <c r="AA154" s="228"/>
      <c r="AB154" s="230"/>
      <c r="AC154" s="223"/>
      <c r="AD154" s="224"/>
      <c r="AE154" s="232"/>
      <c r="AF154" s="104" t="str">
        <f>IF(OR(AND(AF150="",N(BA152)=0,BA156&lt;&gt;0),D154&lt;&gt;""),AX156/AQ155,"")</f>
        <v/>
      </c>
      <c r="AG154" s="234" t="str">
        <f>IF(BA156=0,"",IF(AD156="",AX154,IF(AND(D154&lt;&gt;"",AU154=""),AX156*SQRT(AP156^2+AP157^2)/SQRT(AS154^2+AS155^2)/AQ155,AX154*SQRT(AP156^2+AP157^2)/SQRT(AS154^2+AS155^2))))</f>
        <v/>
      </c>
      <c r="AH154" s="235"/>
      <c r="AI154" s="105" t="str">
        <f>IF(AG154="","",IF(N(U154)&lt;0,-AX154*AQ155/SQRT(AS154^2+AS155^2),AX154*AQ155/SQRT(AS154^2+AS155^2)))</f>
        <v/>
      </c>
      <c r="AJ154" s="201"/>
      <c r="AK154" s="202"/>
      <c r="AL154" s="106"/>
      <c r="AM154" s="59"/>
      <c r="AN154" s="107" t="b">
        <f>IF(BA154="","",IF(AND(BA154=1,F156=50,L154="油入自冷"),VLOOKUP(L156,変１,2,FALSE),IF(AND(BA154=1,F156=50,L154="モ－ルド絶縁"),VLOOKUP(L156,変１,7,FALSE),IF(AND(BA154=1,F156=60,L154="油入自冷"),VLOOKUP(L156,変１,12,FALSE),IF(AND(BA154=1,F156=60,L154="モ－ルド絶縁"),VLOOKUP(L156,変１,17,FALSE),FALSE)))))</f>
        <v>0</v>
      </c>
      <c r="AO154" s="107">
        <f>IF(ISNA(VLOOKUP(L156,変ＵＳＥＲ,2,FALSE)),0,VLOOKUP(L156,変ＵＳＥＲ,2,FALSE))</f>
        <v>0</v>
      </c>
      <c r="AP154" s="108">
        <f>IF(N154="",0,N154*1000/BA156^2/SQRT(BA154))</f>
        <v>0</v>
      </c>
      <c r="AQ154" s="107" t="b">
        <f>IF(BA154=1,2,IF(BA154=3,SQRT(3),FALSE))</f>
        <v>0</v>
      </c>
      <c r="AR154" s="109" t="str">
        <f>IF(X154="","",IF(X154="600V IV",VLOOKUP(X156,ＩＶ,2,FALSE),IF(X154="600V CV-T",VLOOKUP(X156,ＣＶＴ,2,FALSE),IF(OR(X154="600V CV-1C",X154="600V CV-2C",X154="600V CV-3C",X154="600V CV-4C"),VLOOKUP(X156,ＣＶ２３Ｃ,2,FALSE),VLOOKUP(X156,ＣＵＳＥＲ,2,FALSE)))))</f>
        <v/>
      </c>
      <c r="AS154" s="107" t="str">
        <f>IF(AB157="",AP156,AP156+(AB157/1000))</f>
        <v/>
      </c>
      <c r="AT154" s="110" t="str">
        <f>IF(AU156="",AT156,AU156)</f>
        <v/>
      </c>
      <c r="AU154" s="110" t="str">
        <f>IF(D154="","",IF(AND(D214="",D218&lt;&gt;"",AV157=AV221),AT218,IF(AND(D214="",D218="",D222&lt;&gt;"",AV217=AV225),AT222,IF(AND(D214="",D218="",D222="",D226&lt;&gt;"",AV221=AV229),AT226,IF(AND(D214="",D218="",D222="",D226="",D230&lt;&gt;"",AV225=AV233),AT230,IF(AND(D214="",D218="",D222="",D226="",D230="",D234&lt;&gt;"",AV229=AV237),AT234,IF(AND(D214="",D218="",D222="",D226="",D230="",D234="",D238&lt;&gt;"",AV233=AV241),AT238,"")))))))</f>
        <v/>
      </c>
      <c r="AV154" s="110" t="str">
        <f>IF(L154="発電機",IF(ISNA(VLOOKUP(L156,ＡＣＧ,2,FALSE)),0,VLOOKUP(L156,ＡＣＧ,2,FALSE)),"")</f>
        <v/>
      </c>
      <c r="AW154" s="111" t="str">
        <f>IF(AT154="","",AT154/((AT154*AP154)^2+(AT155*AP154-1)^2))</f>
        <v/>
      </c>
      <c r="AX154" s="112" t="str">
        <f>IF(BA156=0,"",IF(OR(AX150="",AF154&lt;&gt;""),AF154*SQRT(AS156^2+AS157^2)/SQRT(AT156^2+AT157^2),AX150*SQRT(AS156^2+AS157^2)/SQRT(AT156^2+AT157^2)))</f>
        <v/>
      </c>
      <c r="AY154" s="113">
        <f>IF(N(AY156)=10^30,10^30,IF(N(AY216)=10^30,(N(AY156)*(N(AY216)^2+N(AY217)^2)+N(AY216)*(N(AY156)^2+N(AY157)^2))/((N(AY156)+N(AY216))^2+(N(AY157)+N(AY217))^2),(N(AY156)*(N(AY214)^2+N(AY215)^2)+N(AY214)*(N(AY156)^2+N(AY157)^2))/((N(AY156)+N(AY214))^2+(N(AY157)+N(AY215))^2)))</f>
        <v>1E+30</v>
      </c>
      <c r="AZ154" s="52"/>
      <c r="BA154" s="114">
        <f>IF(AND(F154="",SUM(S154:S157)&lt;&gt;0),BA150,F154)</f>
        <v>0</v>
      </c>
      <c r="BB154" s="115">
        <f>IF(AND(BA154=3,S154&lt;&gt;""),1,0)</f>
        <v>0</v>
      </c>
      <c r="BC154" s="52"/>
      <c r="BD154" s="52"/>
      <c r="BH154" s="162">
        <f>IF(OR(E154="",F157="",AND(OR(P154="",Q154="",R154="",T154=""),OR(P155="",Q155="",R155="",T155=""),OR(P156="",Q156="",R156="",T156=""),OR(P157="",Q157="",R157="",T157="")),AND(OR(X154="",X156="",Y156="",Z156=""),OR(AB154="",AB156="",AC156="",AD156=""))),0,1)</f>
        <v>0</v>
      </c>
      <c r="BI154" s="162">
        <f>BH154+BI150</f>
        <v>4</v>
      </c>
      <c r="BJ154" s="4"/>
      <c r="BK154" s="4"/>
    </row>
    <row r="155" spans="1:63" ht="15" customHeight="1" x14ac:dyDescent="0.15">
      <c r="A155" s="159"/>
      <c r="B155" s="159"/>
      <c r="C155" s="245"/>
      <c r="D155" s="432"/>
      <c r="E155" s="448"/>
      <c r="F155" s="434"/>
      <c r="G155" s="241"/>
      <c r="H155" s="435"/>
      <c r="I155" s="241"/>
      <c r="J155" s="435"/>
      <c r="K155" s="247"/>
      <c r="L155" s="436"/>
      <c r="M155" s="170" t="str">
        <f>IF(L154="発電機",SQRT(AV154^2+AV155^2),IF(L156="","",IF(OR(L154="油入自冷",L154="モ－ルド絶縁"),IF(BA154=1,SQRT(AN154^2+AN155^2),IF(BA154=3,SQRT(AN156^2+AN157^2))),SQRT(AO154^2+AO155^2))))</f>
        <v/>
      </c>
      <c r="N155" s="437"/>
      <c r="O155" s="171"/>
      <c r="P155" s="195"/>
      <c r="Q155" s="172"/>
      <c r="R155" s="173"/>
      <c r="S155" s="174" t="str">
        <f t="shared" si="6"/>
        <v/>
      </c>
      <c r="T155" s="175"/>
      <c r="U155" s="176" t="str">
        <f>IF(OR(BA156="",S155=""),"",S155*1000*T155/(SQRT(BA154)*BA156))</f>
        <v/>
      </c>
      <c r="V155" s="237"/>
      <c r="W155" s="221"/>
      <c r="X155" s="225"/>
      <c r="Y155" s="226"/>
      <c r="Z155" s="227"/>
      <c r="AA155" s="229"/>
      <c r="AB155" s="231"/>
      <c r="AC155" s="226"/>
      <c r="AD155" s="227"/>
      <c r="AE155" s="233"/>
      <c r="AF155" s="124" t="str">
        <f>IF(OR(AF154="",AG150&lt;&gt;""),"",AF154*AQ155/SQRT(AT154^2+AT155^2))</f>
        <v/>
      </c>
      <c r="AG155" s="205" t="str">
        <f>IF(AG154="","",100*AG154*AQ155/BA156)</f>
        <v/>
      </c>
      <c r="AH155" s="206"/>
      <c r="AI155" s="207" t="str">
        <f>IF(BA156=0,"",IF(AI150="",AX156/SQRT(AT154^2+AT155^2),IF(AI158="","",IF(AT154&lt;0,-AX154*AQ151/SQRT(AT154^2+AT155^2),AX154*AQ151/SQRT(AT154^2+AT155^2)))))</f>
        <v/>
      </c>
      <c r="AJ155" s="203"/>
      <c r="AK155" s="204"/>
      <c r="AL155" s="125"/>
      <c r="AM155" s="59"/>
      <c r="AN155" s="107" t="b">
        <f>IF(BA154="","",IF(AND(BA154=1,F156=50,L154="油入自冷"),VLOOKUP(L156,変１,3,FALSE),IF(AND(BA154=1,F156=50,L154="モ－ルド絶縁"),VLOOKUP(L156,変１,8,FALSE),IF(AND(BA154=1,F156=60,L154="油入自冷"),VLOOKUP(L156,変１,13,FALSE),IF(AND(BA154=1,F156=60,L154="モ－ルド絶縁"),VLOOKUP(L156,変１,18,FALSE),FALSE)))))</f>
        <v>0</v>
      </c>
      <c r="AO155" s="107">
        <f>IF(ISNA(VLOOKUP(L156,変ＵＳＥＲ,3,FALSE)),0,VLOOKUP(L156,変ＵＳＥＲ,3,FALSE)*BA157/50)</f>
        <v>0</v>
      </c>
      <c r="AP155" s="108">
        <f>IF(W154="",0,W154*1000/BA156^2/SQRT(BA154))</f>
        <v>0</v>
      </c>
      <c r="AQ155" s="107">
        <f>IF(AND(BA154=1,BA155=2),1,IF(AND(BA154=3,BA155=3),1,IF(AND(BA154=1,BA155=3),2,IF(AND(BA154=3,BA155=4)*OR(BB154=1,BB155=1,BB156=1,BB157=1),1,SQRT(3)))))</f>
        <v>1.7320508075688772</v>
      </c>
      <c r="AR155" s="109" t="str">
        <f>IF(X154="","",IF(X154="600V IV",VLOOKUP(X156,ＩＶ,3,FALSE),IF(X154="600V CV-T",VLOOKUP(X156,ＣＶＴ,3,FALSE),IF(OR(X154="600V CV-1C",X154="600V CV-2C",X154="600V CV-3C",X154="600V CV-4C"),VLOOKUP(X156,ＣＶ２３Ｃ,3,FALSE),VLOOKUP(X156,ＣＵＳＥＲ,3,FALSE)))))</f>
        <v/>
      </c>
      <c r="AS155" s="107" t="str">
        <f>IF(AD157="",AP157,AP157+(AD157/1000))</f>
        <v/>
      </c>
      <c r="AT155" s="110" t="str">
        <f>IF(AU157="",AT157,AU157)</f>
        <v/>
      </c>
      <c r="AU155" s="110" t="str">
        <f>IF(D154="","",IF(AND(D214="",D218&lt;&gt;"",AV157=AV221),AT219,IF(AND(D214="",D218="",D222&lt;&gt;"",AV217=AV225),AT223,IF(AND(D214="",D218="",D222="",D226&lt;&gt;"",AV221=AV229),AT227,IF(AND(D214="",D218="",D222="",D226="",D230&lt;&gt;"",AV225=AV233),AT231,IF(AND(D214="",D218="",D222="",D226="",D230="",D234&lt;&gt;"",AV229=AV237),AT235,IF(AND(D214="",D218="",D222="",D226="",D230="",D234="",D238&lt;&gt;"",AV233=AV241),AT239,"")))))))</f>
        <v/>
      </c>
      <c r="AV155" s="109" t="str">
        <f>IF(L154="発電機",IF(ISNA(VLOOKUP(L156,ＡＣＧ,3,FALSE)),0,VLOOKUP(L156,ＡＣＧ,3,FALSE)*BA157/50),"")</f>
        <v/>
      </c>
      <c r="AW155" s="111" t="str">
        <f>IF(AT155="","",(AT155-AP154*(AT154^2+AT155^2))/((AT154*AP154)^2+(AP154*AT155-1)^2))</f>
        <v/>
      </c>
      <c r="AX155" s="112"/>
      <c r="AY155" s="113">
        <f>IF(N(AY157)=10^30,10^30,IF(N(AY217)=10^30,(N(AY157)*(N(AY216)^2+N(AY217)^2)+N(AY217)*(N(AY156)^2+N(AY157)^2))/((N(AY156)+N(AY216))^2+(N(AY157)+N(AY217))^2),(N(AY157)*(N(AY214)^2+N(AY215)^2)+N(AY215)*(N(AY156)^2+N(AY157)^2))/((N(AY156)+N(AY214))^2+(N(AY157)+N(AY215))^2)))</f>
        <v>1E+30</v>
      </c>
      <c r="AZ155" s="52"/>
      <c r="BA155" s="114">
        <f>IF(AND(H154="",SUM(S154:S157)&lt;&gt;0),BA151,H154)</f>
        <v>0</v>
      </c>
      <c r="BB155" s="115">
        <f>IF(AND(BA154=3,S155&lt;&gt;""),1,0)</f>
        <v>0</v>
      </c>
      <c r="BC155" s="52"/>
      <c r="BD155" s="52"/>
      <c r="BH155" s="162"/>
      <c r="BI155" s="162"/>
      <c r="BJ155" s="4"/>
      <c r="BK155" s="4"/>
    </row>
    <row r="156" spans="1:63" ht="15" customHeight="1" x14ac:dyDescent="0.15">
      <c r="A156" s="159"/>
      <c r="B156" s="159"/>
      <c r="C156" s="245"/>
      <c r="D156" s="432"/>
      <c r="E156" s="448"/>
      <c r="F156" s="438"/>
      <c r="G156" s="438"/>
      <c r="H156" s="438"/>
      <c r="I156" s="438"/>
      <c r="J156" s="438"/>
      <c r="K156" s="439"/>
      <c r="L156" s="440"/>
      <c r="M156" s="441"/>
      <c r="N156" s="437"/>
      <c r="O156" s="171"/>
      <c r="P156" s="196"/>
      <c r="Q156" s="177"/>
      <c r="R156" s="173"/>
      <c r="S156" s="174" t="str">
        <f t="shared" si="6"/>
        <v/>
      </c>
      <c r="T156" s="175"/>
      <c r="U156" s="178" t="str">
        <f>IF(OR(BA156="",S156=""),"",S156*1000*T156/(SQRT(BA154)*BA156))</f>
        <v/>
      </c>
      <c r="V156" s="179" t="str">
        <f>IF(AND(N(U154)=0,N(U155)=0,N(U156)=0,N(U157)=0),"",V154*(P154*R154*T154+P155*R155*T155+P156*R156*T156+P157*R157*T157)/(P154*T154+P155*T155+P156*T156+P157*T157))</f>
        <v/>
      </c>
      <c r="W156" s="209" t="str">
        <f>IF(AND(N(AP156)=0,N(AP157)=0,N(AP155)=0),"",IF(AP157&gt;=0,COS(ATAN(AP157/AP156)),-COS(ATAN(AP157/AP156))))</f>
        <v/>
      </c>
      <c r="X156" s="180"/>
      <c r="Y156" s="181"/>
      <c r="Z156" s="182"/>
      <c r="AA156" s="183"/>
      <c r="AB156" s="184"/>
      <c r="AC156" s="181"/>
      <c r="AD156" s="182"/>
      <c r="AE156" s="185"/>
      <c r="AF156" s="136" t="str">
        <f>IF(OR(AF154="",AG150&lt;&gt;""),"",BA156/SQRT(AW156^2+AW157^2))</f>
        <v/>
      </c>
      <c r="AG156" s="205" t="str">
        <f>IF(AG154="","",100*((BA156/AQ155)-AG154)/(BA156/AQ155))</f>
        <v/>
      </c>
      <c r="AH156" s="206"/>
      <c r="AI156" s="208"/>
      <c r="AJ156" s="211"/>
      <c r="AK156" s="213"/>
      <c r="AL156" s="137"/>
      <c r="AM156" s="59"/>
      <c r="AN156" s="138" t="b">
        <f>IF(BA154="","",IF(AND(BA154=3,F156=50,L154="油入自冷"),VLOOKUP(L156,変３,2,FALSE),IF(AND(BA154=3,F156=50,L154="モ－ルド絶縁"),VLOOKUP(L156,変３,7,FALSE),IF(AND(BA154=3,F156=60,L154="油入自冷"),VLOOKUP(L156,変３,12,FALSE),IF(AND(BA154=3,F156=60,L154="モ－ルド絶縁"),VLOOKUP(L156,変３,17,FALSE),FALSE)))))</f>
        <v>0</v>
      </c>
      <c r="AO156" s="109" t="str">
        <f>IF(AND(L150="",N(AY154)&lt;10^29),AY154,"")</f>
        <v/>
      </c>
      <c r="AP156" s="139" t="str">
        <f>IF(V154="","",IF(AND(N(V156)=0,N(AP155)=0),"",AQ156/((AQ156*AP155)^2+(AP155*AQ157-1)^2)))</f>
        <v/>
      </c>
      <c r="AQ156" s="107">
        <f>IF(N(V156)=0,10^30,V156)</f>
        <v>1E+30</v>
      </c>
      <c r="AR156" s="109" t="str">
        <f>IF(AB154="","",IF(AB154="600V IV",VLOOKUP(AB156,ＩＶ,2,FALSE),IF(AB154="600V CV-T",VLOOKUP(AB156,ＣＶＴ,2,FALSE),IF(OR(AB154="600V CV-1C",AB154="600V CV-2C",AB154="600V CV-3C",AB154="600V CV-4C"),VLOOKUP(AB156,ＣＶ２３Ｃ,2,FALSE),VLOOKUP(AB156,ＣＵＳＥＲ,2,FALSE)))))</f>
        <v/>
      </c>
      <c r="AS156" s="107" t="str">
        <f>IF(OR(AND(AS214="",AS215=""),AND(D154="",D214&lt;&gt;"")),AS154,(AS154*(AT214^2+AT215^2)+AT214*(AS154^2+AS155^2))/((AS154+AT214)^2+(AS155+AT215)^2))</f>
        <v/>
      </c>
      <c r="AT156" s="110" t="str">
        <f>IF(X157="",AS156,N(AS156)+(X157/1000))</f>
        <v/>
      </c>
      <c r="AU156" s="110" t="str">
        <f>IF(AU154="","",(AT156*(AU154^2+AU155^2)+AU154*(AT156^2+AT157^2))/((AT156+AU154)^2+(AT157+AU155)^2))</f>
        <v/>
      </c>
      <c r="AV156" s="110">
        <f>IF(BA156=0,1,0)</f>
        <v>1</v>
      </c>
      <c r="AW156" s="111" t="str">
        <f>IF(AO156="","",AW154+AO156)</f>
        <v/>
      </c>
      <c r="AX156" s="112" t="str">
        <f>IF(AND(AX152="",AW156&lt;&gt;""),BA156*SQRT(AW154^2+AW155^2)/SQRT(AW156^2+AW157^2),IF(BA156&lt;&gt;0,AX152,""))</f>
        <v/>
      </c>
      <c r="AY156" s="140">
        <f>IF(L156="",10^30,SQRT(BA154)*(BA156^2)*(N(AN154)+N(AN156)+N(AO154)+N(AV154))/(100000*L156*M154))</f>
        <v>1E+30</v>
      </c>
      <c r="AZ156" s="141"/>
      <c r="BA156" s="114">
        <f>IF(AND(J154="",SUM(S154:S157)&lt;&gt;0),BA152,J154)</f>
        <v>0</v>
      </c>
      <c r="BB156" s="115">
        <f>IF(AND(BA154=3,S156&lt;&gt;""),1,0)</f>
        <v>0</v>
      </c>
      <c r="BC156" s="52"/>
      <c r="BD156" s="52"/>
      <c r="BH156" s="162"/>
      <c r="BI156" s="162"/>
      <c r="BJ156" s="4"/>
      <c r="BK156" s="4"/>
    </row>
    <row r="157" spans="1:63" ht="15" customHeight="1" x14ac:dyDescent="0.15">
      <c r="A157" s="159"/>
      <c r="B157" s="159"/>
      <c r="C157" s="245"/>
      <c r="D157" s="442"/>
      <c r="E157" s="449"/>
      <c r="F157" s="444"/>
      <c r="G157" s="444"/>
      <c r="H157" s="444"/>
      <c r="I157" s="444"/>
      <c r="J157" s="444"/>
      <c r="K157" s="445"/>
      <c r="L157" s="238" t="str">
        <f>IF(M154="","",L156*1000*M154/(SQRT(BA154)*BA156))</f>
        <v/>
      </c>
      <c r="M157" s="239"/>
      <c r="N157" s="446"/>
      <c r="O157" s="186"/>
      <c r="P157" s="197"/>
      <c r="Q157" s="187"/>
      <c r="R157" s="188"/>
      <c r="S157" s="189" t="str">
        <f t="shared" si="6"/>
        <v/>
      </c>
      <c r="T157" s="190"/>
      <c r="U157" s="191" t="str">
        <f>IF(OR(BA156="",S157=""),"",S157*1000*T157/(SQRT(BA154)*BA156))</f>
        <v/>
      </c>
      <c r="V157" s="192" t="str">
        <f>IF(AND(N(U154)=0,N(U155)=0,N(U156)=0,N(U157)=0),"",IF(V154&gt;=0,SQRT(ABS(V154^2-V156^2)),-SQRT(V154^2-V156^2)))</f>
        <v/>
      </c>
      <c r="W157" s="210"/>
      <c r="X157" s="215" t="str">
        <f>IF(Y156="","",AQ154*Z156*AR154*((1+0.00393*(F157-20))/1.2751)/Y156)</f>
        <v/>
      </c>
      <c r="Y157" s="216"/>
      <c r="Z157" s="217" t="str">
        <f>IF(Y156="","",(BA157/50)*AQ154*Z156*AR155/Y156)</f>
        <v/>
      </c>
      <c r="AA157" s="218"/>
      <c r="AB157" s="219" t="str">
        <f>IF(AC156="","",AQ154*AD156*AR156*((1+0.00393*(F157-20))/1.2751)/AC156)</f>
        <v/>
      </c>
      <c r="AC157" s="216"/>
      <c r="AD157" s="217" t="str">
        <f>IF(AC156="","",(BA157/50)*AQ154*AD156*AR157/AC156)</f>
        <v/>
      </c>
      <c r="AE157" s="242"/>
      <c r="AF157" s="150" t="str">
        <f>IF(AND(AX154&lt;&gt;"",D154=""),AX154,"")</f>
        <v/>
      </c>
      <c r="AG157" s="243" t="str">
        <f>IF(AP156="","",AP156)</f>
        <v/>
      </c>
      <c r="AH157" s="244"/>
      <c r="AI157" s="151" t="str">
        <f>IF(AP157="","",AP157)</f>
        <v/>
      </c>
      <c r="AJ157" s="212"/>
      <c r="AK157" s="214"/>
      <c r="AL157" s="152"/>
      <c r="AM157" s="59"/>
      <c r="AN157" s="153" t="b">
        <f>IF(BA154="","",IF(AND(BA154=3,F156=50,L154="油入自冷"),VLOOKUP(L156,変３,3,FALSE),IF(AND(BA154=3,F156=50,L154="モ－ルド絶縁"),VLOOKUP(L156,変３,8,FALSE),IF(AND(BA154=3,F156=60,L154="油入自冷"),VLOOKUP(L156,変３,13,FALSE),IF(AND(BA154=3,F156=60,L154="モ－ルド絶縁"),VLOOKUP(L156,変３,18,FALSE),FALSE)))))</f>
        <v>0</v>
      </c>
      <c r="AO157" s="153" t="str">
        <f>IF(AND(L150="",N(AY155)&lt;10^29),AY155,"")</f>
        <v/>
      </c>
      <c r="AP157" s="154" t="str">
        <f>IF(V154="","",IF(AND(N(V157)=0,N(AP155)=0),0,(AQ157-AP155*(AQ156^2+AQ157^2))/((AQ156*AP155)^2+(AP155*AQ157-1)^2)))</f>
        <v/>
      </c>
      <c r="AQ157" s="155">
        <f>IF(N(V157)=0,10^30,V157)</f>
        <v>1E+30</v>
      </c>
      <c r="AR157" s="153" t="str">
        <f>IF(AB154="","",IF(AB154="600V IV",VLOOKUP(AB156,ＩＶ,3,FALSE),IF(AB154="600V CV-T",VLOOKUP(AB156,ＣＶＴ,3,FALSE),IF(OR(AB154="600V CV-1C",AB154="600V CV-2C",AB154="600V CV-3C",AB154="600V CV-4C"),VLOOKUP(AB156,ＣＶ２３Ｃ,3,FALSE),VLOOKUP(AB156,ＣＵＳＥＲ,3,FALSE)))))</f>
        <v/>
      </c>
      <c r="AS157" s="155" t="str">
        <f>IF(OR(AND(AS214="",AS215=""),AND(D154="",D214&lt;&gt;"")),AS155,(AS155*(AT214^2+AT215^2)+AT215*(AS154^2+AS155^2))/((AS154+AT214)^2+(AS155+AT215)^2))</f>
        <v/>
      </c>
      <c r="AT157" s="156" t="str">
        <f>IF(Z157="",AS157,N(AS157)+(Z157/1000))</f>
        <v/>
      </c>
      <c r="AU157" s="156" t="str">
        <f>IF(AU155="","",(AT157*(AU154^2+AU155^2)+AU155*(AT156^2+AT157^2))/((AT156+AU154)^2+(AT157+AU155)^2))</f>
        <v/>
      </c>
      <c r="AV157" s="156">
        <f>AV153+AV156</f>
        <v>17</v>
      </c>
      <c r="AW157" s="155" t="str">
        <f>IF(AO157="","",AW155+AO157)</f>
        <v/>
      </c>
      <c r="AX157" s="157"/>
      <c r="AY157" s="140">
        <f>IF(L156="",10^30,SQRT(BA154)*(BA156^2)*(N(AN155)+N(AN157)+N(AO155)+N(AV155))/(100000*L156*M154))</f>
        <v>1E+30</v>
      </c>
      <c r="AZ157" s="141"/>
      <c r="BA157" s="114">
        <f>IF(AND(F156="",SUM(S154:S157)&lt;&gt;0),BA153,F156)</f>
        <v>0</v>
      </c>
      <c r="BB157" s="115">
        <f>IF(AND(BA154=3,S157&lt;&gt;""),1,0)</f>
        <v>0</v>
      </c>
      <c r="BC157" s="52"/>
      <c r="BD157" s="52"/>
      <c r="BH157" s="162"/>
      <c r="BI157" s="162"/>
      <c r="BJ157" s="4"/>
      <c r="BK157" s="4"/>
    </row>
    <row r="158" spans="1:63" ht="15" customHeight="1" x14ac:dyDescent="0.15">
      <c r="A158" s="159"/>
      <c r="B158" s="159"/>
      <c r="C158" s="245" t="str">
        <f>IF(BH158=1,"●","・")</f>
        <v>・</v>
      </c>
      <c r="D158" s="425"/>
      <c r="E158" s="447"/>
      <c r="F158" s="427"/>
      <c r="G158" s="240" t="str">
        <f>IF(F158="","","φ")</f>
        <v/>
      </c>
      <c r="H158" s="428"/>
      <c r="I158" s="240" t="str">
        <f>IF(H158="","","W")</f>
        <v/>
      </c>
      <c r="J158" s="428"/>
      <c r="K158" s="246" t="str">
        <f>IF(J158="","","V")</f>
        <v/>
      </c>
      <c r="L158" s="429"/>
      <c r="M158" s="430"/>
      <c r="N158" s="431"/>
      <c r="O158" s="164"/>
      <c r="P158" s="194"/>
      <c r="Q158" s="165"/>
      <c r="R158" s="166"/>
      <c r="S158" s="167" t="str">
        <f>IF(R158="","",IF(Q158="",P158/R158,P158/(Q158*R158)))</f>
        <v/>
      </c>
      <c r="T158" s="168"/>
      <c r="U158" s="169" t="str">
        <f>IF(OR(BA160="",S158=""),"",S158*1000*T158/(SQRT(BA158)*BA160))</f>
        <v/>
      </c>
      <c r="V158" s="236" t="str">
        <f>IF(AND(N(U158)=0,N(U159)=0,N(U160)=0,N(U161)=0),"",BA160/(SUM(U158:U161)))</f>
        <v/>
      </c>
      <c r="W158" s="220"/>
      <c r="X158" s="222"/>
      <c r="Y158" s="223"/>
      <c r="Z158" s="224"/>
      <c r="AA158" s="228"/>
      <c r="AB158" s="230"/>
      <c r="AC158" s="223"/>
      <c r="AD158" s="224"/>
      <c r="AE158" s="232"/>
      <c r="AF158" s="104" t="str">
        <f>IF(OR(AND(AF154="",N(BA156)=0,BA160&lt;&gt;0),D158&lt;&gt;""),AX160/AQ159,"")</f>
        <v/>
      </c>
      <c r="AG158" s="234" t="str">
        <f>IF(BA160=0,"",IF(AD160="",AX158,IF(AND(D158&lt;&gt;"",AU158=""),AX160*SQRT(AP160^2+AP161^2)/SQRT(AS158^2+AS159^2)/AQ159,AX158*SQRT(AP160^2+AP161^2)/SQRT(AS158^2+AS159^2))))</f>
        <v/>
      </c>
      <c r="AH158" s="235"/>
      <c r="AI158" s="105" t="str">
        <f>IF(AG158="","",IF(N(U158)&lt;0,-AX158*AQ159/SQRT(AS158^2+AS159^2),AX158*AQ159/SQRT(AS158^2+AS159^2)))</f>
        <v/>
      </c>
      <c r="AJ158" s="201"/>
      <c r="AK158" s="202"/>
      <c r="AL158" s="106"/>
      <c r="AM158" s="59"/>
      <c r="AN158" s="107" t="b">
        <f>IF(BA158="","",IF(AND(BA158=1,F160=50,L158="油入自冷"),VLOOKUP(L160,変１,2,FALSE),IF(AND(BA158=1,F160=50,L158="モ－ルド絶縁"),VLOOKUP(L160,変１,7,FALSE),IF(AND(BA158=1,F160=60,L158="油入自冷"),VLOOKUP(L160,変１,12,FALSE),IF(AND(BA158=1,F160=60,L158="モ－ルド絶縁"),VLOOKUP(L160,変１,17,FALSE),FALSE)))))</f>
        <v>0</v>
      </c>
      <c r="AO158" s="107">
        <f>IF(ISNA(VLOOKUP(L160,変ＵＳＥＲ,2,FALSE)),0,VLOOKUP(L160,変ＵＳＥＲ,2,FALSE))</f>
        <v>0</v>
      </c>
      <c r="AP158" s="108">
        <f>IF(N158="",0,N158*1000/BA160^2/SQRT(BA158))</f>
        <v>0</v>
      </c>
      <c r="AQ158" s="107" t="b">
        <f>IF(BA158=1,2,IF(BA158=3,SQRT(3),FALSE))</f>
        <v>0</v>
      </c>
      <c r="AR158" s="109" t="str">
        <f>IF(X158="","",IF(X158="600V IV",VLOOKUP(X160,ＩＶ,2,FALSE),IF(X158="600V CV-T",VLOOKUP(X160,ＣＶＴ,2,FALSE),IF(OR(X158="600V CV-1C",X158="600V CV-2C",X158="600V CV-3C",X158="600V CV-4C"),VLOOKUP(X160,ＣＶ２３Ｃ,2,FALSE),VLOOKUP(X160,ＣＵＳＥＲ,2,FALSE)))))</f>
        <v/>
      </c>
      <c r="AS158" s="107" t="str">
        <f>IF(AB161="",AP160,AP160+(AB161/1000))</f>
        <v/>
      </c>
      <c r="AT158" s="110" t="str">
        <f>IF(AU160="",AT160,AU160)</f>
        <v/>
      </c>
      <c r="AU158" s="110" t="str">
        <f>IF(D158="","",IF(AND(D218="",D222&lt;&gt;"",AV161=AV225),AT222,IF(AND(D218="",D222="",D226&lt;&gt;"",AV221=AV229),AT226,IF(AND(D218="",D222="",D226="",D230&lt;&gt;"",AV225=AV233),AT230,IF(AND(D218="",D222="",D226="",D230="",D234&lt;&gt;"",AV229=AV237),AT234,IF(AND(D218="",D222="",D226="",D230="",D234="",D238&lt;&gt;"",AV233=AV241),AT238,IF(AND(D218="",D222="",D226="",D230="",D234="",D238="",D242&lt;&gt;"",AV237=AV245),AT242,"")))))))</f>
        <v/>
      </c>
      <c r="AV158" s="110" t="str">
        <f>IF(L158="発電機",IF(ISNA(VLOOKUP(L160,ＡＣＧ,2,FALSE)),0,VLOOKUP(L160,ＡＣＧ,2,FALSE)),"")</f>
        <v/>
      </c>
      <c r="AW158" s="111" t="str">
        <f>IF(AT158="","",AT158/((AT158*AP158)^2+(AT159*AP158-1)^2))</f>
        <v/>
      </c>
      <c r="AX158" s="112" t="str">
        <f>IF(BA160=0,"",IF(OR(AX154="",AF158&lt;&gt;""),AF158*SQRT(AS160^2+AS161^2)/SQRT(AT160^2+AT161^2),AX154*SQRT(AS160^2+AS161^2)/SQRT(AT160^2+AT161^2)))</f>
        <v/>
      </c>
      <c r="AY158" s="113">
        <f>IF(N(AY160)=10^30,10^30,IF(N(AY220)=10^30,(N(AY160)*(N(AY220)^2+N(AY221)^2)+N(AY220)*(N(AY160)^2+N(AY161)^2))/((N(AY160)+N(AY220))^2+(N(AY161)+N(AY221))^2),(N(AY160)*(N(AY218)^2+N(AY219)^2)+N(AY218)*(N(AY160)^2+N(AY161)^2))/((N(AY160)+N(AY218))^2+(N(AY161)+N(AY219))^2)))</f>
        <v>1E+30</v>
      </c>
      <c r="AZ158" s="52"/>
      <c r="BA158" s="114">
        <f>IF(AND(F158="",SUM(S158:S161)&lt;&gt;0),BA154,F158)</f>
        <v>0</v>
      </c>
      <c r="BB158" s="115">
        <f>IF(AND(BA158=3,S158&lt;&gt;""),1,0)</f>
        <v>0</v>
      </c>
      <c r="BC158" s="52"/>
      <c r="BD158" s="52"/>
      <c r="BH158" s="162">
        <f>IF(OR(E158="",F161="",AND(OR(P158="",Q158="",R158="",T158=""),OR(P159="",Q159="",R159="",T159=""),OR(P160="",Q160="",R160="",T160=""),OR(P161="",Q161="",R161="",T161="")),AND(OR(X158="",X160="",Y160="",Z160=""),OR(AB158="",AB160="",AC160="",AD160=""))),0,1)</f>
        <v>0</v>
      </c>
      <c r="BI158" s="162">
        <f>BH158+BI154</f>
        <v>4</v>
      </c>
      <c r="BJ158" s="4"/>
      <c r="BK158" s="4"/>
    </row>
    <row r="159" spans="1:63" ht="15" customHeight="1" x14ac:dyDescent="0.15">
      <c r="A159" s="159"/>
      <c r="B159" s="159"/>
      <c r="C159" s="245"/>
      <c r="D159" s="432"/>
      <c r="E159" s="448"/>
      <c r="F159" s="434"/>
      <c r="G159" s="241"/>
      <c r="H159" s="435"/>
      <c r="I159" s="241"/>
      <c r="J159" s="435"/>
      <c r="K159" s="247"/>
      <c r="L159" s="436"/>
      <c r="M159" s="170" t="str">
        <f>IF(L158="発電機",SQRT(AV158^2+AV159^2),IF(L160="","",IF(OR(L158="油入自冷",L158="モ－ルド絶縁"),IF(BA158=1,SQRT(AN158^2+AN159^2),IF(BA158=3,SQRT(AN160^2+AN161^2))),SQRT(AO158^2+AO159^2))))</f>
        <v/>
      </c>
      <c r="N159" s="437"/>
      <c r="O159" s="171"/>
      <c r="P159" s="195"/>
      <c r="Q159" s="172"/>
      <c r="R159" s="173"/>
      <c r="S159" s="174" t="str">
        <f t="shared" ref="S159:S177" si="7">IF(R159="","",IF(Q159="",P159/R159,P159/(Q159*R159)))</f>
        <v/>
      </c>
      <c r="T159" s="175"/>
      <c r="U159" s="176" t="str">
        <f>IF(OR(BA160="",S159=""),"",S159*1000*T159/(SQRT(BA158)*BA160))</f>
        <v/>
      </c>
      <c r="V159" s="237"/>
      <c r="W159" s="221"/>
      <c r="X159" s="225"/>
      <c r="Y159" s="226"/>
      <c r="Z159" s="227"/>
      <c r="AA159" s="229"/>
      <c r="AB159" s="231"/>
      <c r="AC159" s="226"/>
      <c r="AD159" s="227"/>
      <c r="AE159" s="233"/>
      <c r="AF159" s="124" t="str">
        <f>IF(OR(AF158="",AG154&lt;&gt;""),"",AF158*AQ159/SQRT(AT158^2+AT159^2))</f>
        <v/>
      </c>
      <c r="AG159" s="205" t="str">
        <f>IF(AG158="","",100*AG158*AQ159/BA160)</f>
        <v/>
      </c>
      <c r="AH159" s="206"/>
      <c r="AI159" s="207" t="str">
        <f>IF(BA160=0,"",IF(AI154="",AX160/SQRT(AT158^2+AT159^2),IF(AI162="","",IF(AT158&lt;0,-AX158*AQ155/SQRT(AT158^2+AT159^2),AX158*AQ155/SQRT(AT158^2+AT159^2)))))</f>
        <v/>
      </c>
      <c r="AJ159" s="203"/>
      <c r="AK159" s="204"/>
      <c r="AL159" s="125"/>
      <c r="AM159" s="59"/>
      <c r="AN159" s="107" t="b">
        <f>IF(BA158="","",IF(AND(BA158=1,F160=50,L158="油入自冷"),VLOOKUP(L160,変１,3,FALSE),IF(AND(BA158=1,F160=50,L158="モ－ルド絶縁"),VLOOKUP(L160,変１,8,FALSE),IF(AND(BA158=1,F160=60,L158="油入自冷"),VLOOKUP(L160,変１,13,FALSE),IF(AND(BA158=1,F160=60,L158="モ－ルド絶縁"),VLOOKUP(L160,変１,18,FALSE),FALSE)))))</f>
        <v>0</v>
      </c>
      <c r="AO159" s="107">
        <f>IF(ISNA(VLOOKUP(L160,変ＵＳＥＲ,3,FALSE)),0,VLOOKUP(L160,変ＵＳＥＲ,3,FALSE)*BA161/50)</f>
        <v>0</v>
      </c>
      <c r="AP159" s="108">
        <f>IF(W158="",0,W158*1000/BA160^2/SQRT(BA158))</f>
        <v>0</v>
      </c>
      <c r="AQ159" s="107">
        <f>IF(AND(BA158=1,BA159=2),1,IF(AND(BA158=3,BA159=3),1,IF(AND(BA158=1,BA159=3),2,IF(AND(BA158=3,BA159=4)*OR(BB158=1,BB159=1,BB160=1,BB161=1),1,SQRT(3)))))</f>
        <v>1.7320508075688772</v>
      </c>
      <c r="AR159" s="109" t="str">
        <f>IF(X158="","",IF(X158="600V IV",VLOOKUP(X160,ＩＶ,3,FALSE),IF(X158="600V CV-T",VLOOKUP(X160,ＣＶＴ,3,FALSE),IF(OR(X158="600V CV-1C",X158="600V CV-2C",X158="600V CV-3C",X158="600V CV-4C"),VLOOKUP(X160,ＣＶ２３Ｃ,3,FALSE),VLOOKUP(X160,ＣＵＳＥＲ,3,FALSE)))))</f>
        <v/>
      </c>
      <c r="AS159" s="107" t="str">
        <f>IF(AD161="",AP161,AP161+(AD161/1000))</f>
        <v/>
      </c>
      <c r="AT159" s="110" t="str">
        <f>IF(AU161="",AT161,AU161)</f>
        <v/>
      </c>
      <c r="AU159" s="110" t="str">
        <f>IF(D158="","",IF(AND(D218="",D222&lt;&gt;"",AV161=AV225),AT223,IF(AND(D218="",D222="",D226&lt;&gt;"",AV221=AV229),AT227,IF(AND(D218="",D222="",D226="",D230&lt;&gt;"",AV225=AV233),AT231,IF(AND(D218="",D222="",D226="",D230="",D234&lt;&gt;"",AV229=AV237),AT235,IF(AND(D218="",D222="",D226="",D230="",D234="",D238&lt;&gt;"",AV233=AV241),AT239,IF(AND(D218="",D222="",D226="",D230="",D234="",D238="",D242&lt;&gt;"",AV237=AV245),AT243,"")))))))</f>
        <v/>
      </c>
      <c r="AV159" s="109" t="str">
        <f>IF(L158="発電機",IF(ISNA(VLOOKUP(L160,ＡＣＧ,3,FALSE)),0,VLOOKUP(L160,ＡＣＧ,3,FALSE)*BA161/50),"")</f>
        <v/>
      </c>
      <c r="AW159" s="111" t="str">
        <f>IF(AT159="","",(AT159-AP158*(AT158^2+AT159^2))/((AT158*AP158)^2+(AP158*AT159-1)^2))</f>
        <v/>
      </c>
      <c r="AX159" s="112"/>
      <c r="AY159" s="113">
        <f>IF(N(AY161)=10^30,10^30,IF(N(AY221)=10^30,(N(AY161)*(N(AY220)^2+N(AY221)^2)+N(AY221)*(N(AY160)^2+N(AY161)^2))/((N(AY160)+N(AY220))^2+(N(AY161)+N(AY221))^2),(N(AY161)*(N(AY218)^2+N(AY219)^2)+N(AY219)*(N(AY160)^2+N(AY161)^2))/((N(AY160)+N(AY218))^2+(N(AY161)+N(AY219))^2)))</f>
        <v>1E+30</v>
      </c>
      <c r="AZ159" s="52"/>
      <c r="BA159" s="114">
        <f>IF(AND(H158="",SUM(S158:S161)&lt;&gt;0),BA155,H158)</f>
        <v>0</v>
      </c>
      <c r="BB159" s="115">
        <f>IF(AND(BA158=3,S159&lt;&gt;""),1,0)</f>
        <v>0</v>
      </c>
      <c r="BC159" s="52"/>
      <c r="BD159" s="52"/>
      <c r="BH159" s="162"/>
      <c r="BI159" s="162"/>
      <c r="BJ159" s="4"/>
      <c r="BK159" s="4"/>
    </row>
    <row r="160" spans="1:63" ht="15" customHeight="1" x14ac:dyDescent="0.15">
      <c r="A160" s="159"/>
      <c r="B160" s="159"/>
      <c r="C160" s="245"/>
      <c r="D160" s="432"/>
      <c r="E160" s="448"/>
      <c r="F160" s="438"/>
      <c r="G160" s="438"/>
      <c r="H160" s="438"/>
      <c r="I160" s="438"/>
      <c r="J160" s="438"/>
      <c r="K160" s="439"/>
      <c r="L160" s="440"/>
      <c r="M160" s="441"/>
      <c r="N160" s="437"/>
      <c r="O160" s="171"/>
      <c r="P160" s="196"/>
      <c r="Q160" s="177"/>
      <c r="R160" s="173"/>
      <c r="S160" s="174" t="str">
        <f t="shared" si="7"/>
        <v/>
      </c>
      <c r="T160" s="175"/>
      <c r="U160" s="178" t="str">
        <f>IF(OR(BA160="",S160=""),"",S160*1000*T160/(SQRT(BA158)*BA160))</f>
        <v/>
      </c>
      <c r="V160" s="179" t="str">
        <f>IF(AND(N(U158)=0,N(U159)=0,N(U160)=0,N(U161)=0),"",V158*(P158*R158*T158+P159*R159*T159+P160*R160*T160+P161*R161*T161)/(P158*T158+P159*T159+P160*T160+P161*T161))</f>
        <v/>
      </c>
      <c r="W160" s="209" t="str">
        <f>IF(AND(N(AP160)=0,N(AP161)=0,N(AP159)=0),"",IF(AP161&gt;=0,COS(ATAN(AP161/AP160)),-COS(ATAN(AP161/AP160))))</f>
        <v/>
      </c>
      <c r="X160" s="180"/>
      <c r="Y160" s="181"/>
      <c r="Z160" s="182"/>
      <c r="AA160" s="183"/>
      <c r="AB160" s="184"/>
      <c r="AC160" s="181"/>
      <c r="AD160" s="182"/>
      <c r="AE160" s="185"/>
      <c r="AF160" s="136" t="str">
        <f>IF(OR(AF158="",AG154&lt;&gt;""),"",BA160/SQRT(AW160^2+AW161^2))</f>
        <v/>
      </c>
      <c r="AG160" s="205" t="str">
        <f>IF(AG158="","",100*((BA160/AQ159)-AG158)/(BA160/AQ159))</f>
        <v/>
      </c>
      <c r="AH160" s="206"/>
      <c r="AI160" s="208"/>
      <c r="AJ160" s="211"/>
      <c r="AK160" s="213"/>
      <c r="AL160" s="137"/>
      <c r="AM160" s="59"/>
      <c r="AN160" s="138" t="b">
        <f>IF(BA158="","",IF(AND(BA158=3,F160=50,L158="油入自冷"),VLOOKUP(L160,変３,2,FALSE),IF(AND(BA158=3,F160=50,L158="モ－ルド絶縁"),VLOOKUP(L160,変３,7,FALSE),IF(AND(BA158=3,F160=60,L158="油入自冷"),VLOOKUP(L160,変３,12,FALSE),IF(AND(BA158=3,F160=60,L158="モ－ルド絶縁"),VLOOKUP(L160,変３,17,FALSE),FALSE)))))</f>
        <v>0</v>
      </c>
      <c r="AO160" s="109" t="str">
        <f>IF(AND(L154="",N(AY158)&lt;10^29),AY158,"")</f>
        <v/>
      </c>
      <c r="AP160" s="139" t="str">
        <f>IF(V158="","",IF(AND(N(V160)=0,N(AP159)=0),"",AQ160/((AQ160*AP159)^2+(AP159*AQ161-1)^2)))</f>
        <v/>
      </c>
      <c r="AQ160" s="107">
        <f>IF(N(V160)=0,10^30,V160)</f>
        <v>1E+30</v>
      </c>
      <c r="AR160" s="109" t="str">
        <f>IF(AB158="","",IF(AB158="600V IV",VLOOKUP(AB160,ＩＶ,2,FALSE),IF(AB158="600V CV-T",VLOOKUP(AB160,ＣＶＴ,2,FALSE),IF(OR(AB158="600V CV-1C",AB158="600V CV-2C",AB158="600V CV-3C",AB158="600V CV-4C"),VLOOKUP(AB160,ＣＶ２３Ｃ,2,FALSE),VLOOKUP(AB160,ＣＵＳＥＲ,2,FALSE)))))</f>
        <v/>
      </c>
      <c r="AS160" s="107" t="str">
        <f>IF(OR(AND(AS218="",AS219=""),AND(D158="",D218&lt;&gt;"")),AS158,(AS158*(AT218^2+AT219^2)+AT218*(AS158^2+AS159^2))/((AS158+AT218)^2+(AS159+AT219)^2))</f>
        <v/>
      </c>
      <c r="AT160" s="110" t="str">
        <f>IF(X161="",AS160,N(AS160)+(X161/1000))</f>
        <v/>
      </c>
      <c r="AU160" s="110" t="str">
        <f>IF(AU158="","",(AT160*(AU158^2+AU159^2)+AU158*(AT160^2+AT161^2))/((AT160+AU158)^2+(AT161+AU159)^2))</f>
        <v/>
      </c>
      <c r="AV160" s="110">
        <f>IF(BA160=0,1,0)</f>
        <v>1</v>
      </c>
      <c r="AW160" s="111" t="str">
        <f>IF(AO160="","",AW158+AO160)</f>
        <v/>
      </c>
      <c r="AX160" s="112" t="str">
        <f>IF(AND(AX156="",AW160&lt;&gt;""),BA160*SQRT(AW158^2+AW159^2)/SQRT(AW160^2+AW161^2),IF(BA160&lt;&gt;0,AX156,""))</f>
        <v/>
      </c>
      <c r="AY160" s="140">
        <f>IF(L160="",10^30,SQRT(BA158)*(BA160^2)*(N(AN158)+N(AN160)+N(AO158)+N(AV158))/(100000*L160*M158))</f>
        <v>1E+30</v>
      </c>
      <c r="AZ160" s="141"/>
      <c r="BA160" s="114">
        <f>IF(AND(J158="",SUM(S158:S161)&lt;&gt;0),BA156,J158)</f>
        <v>0</v>
      </c>
      <c r="BB160" s="115">
        <f>IF(AND(BA158=3,S160&lt;&gt;""),1,0)</f>
        <v>0</v>
      </c>
      <c r="BC160" s="52"/>
      <c r="BD160" s="52"/>
      <c r="BH160" s="162"/>
      <c r="BI160" s="162"/>
      <c r="BJ160" s="4"/>
      <c r="BK160" s="4"/>
    </row>
    <row r="161" spans="1:63" ht="15" customHeight="1" x14ac:dyDescent="0.15">
      <c r="A161" s="159"/>
      <c r="B161" s="159"/>
      <c r="C161" s="245"/>
      <c r="D161" s="442"/>
      <c r="E161" s="449"/>
      <c r="F161" s="444"/>
      <c r="G161" s="444"/>
      <c r="H161" s="444"/>
      <c r="I161" s="444"/>
      <c r="J161" s="444"/>
      <c r="K161" s="445"/>
      <c r="L161" s="238" t="str">
        <f>IF(M158="","",L160*1000*M158/(SQRT(BA158)*BA160))</f>
        <v/>
      </c>
      <c r="M161" s="239"/>
      <c r="N161" s="446"/>
      <c r="O161" s="186"/>
      <c r="P161" s="197"/>
      <c r="Q161" s="187"/>
      <c r="R161" s="188"/>
      <c r="S161" s="189" t="str">
        <f t="shared" si="7"/>
        <v/>
      </c>
      <c r="T161" s="190"/>
      <c r="U161" s="191" t="str">
        <f>IF(OR(BA160="",S161=""),"",S161*1000*T161/(SQRT(BA158)*BA160))</f>
        <v/>
      </c>
      <c r="V161" s="192" t="str">
        <f>IF(AND(N(U158)=0,N(U159)=0,N(U160)=0,N(U161)=0),"",IF(V158&gt;=0,SQRT(ABS(V158^2-V160^2)),-SQRT(V158^2-V160^2)))</f>
        <v/>
      </c>
      <c r="W161" s="210"/>
      <c r="X161" s="215" t="str">
        <f>IF(Y160="","",AQ158*Z160*AR158*((1+0.00393*(F161-20))/1.2751)/Y160)</f>
        <v/>
      </c>
      <c r="Y161" s="216"/>
      <c r="Z161" s="217" t="str">
        <f>IF(Y160="","",(BA161/50)*AQ158*Z160*AR159/Y160)</f>
        <v/>
      </c>
      <c r="AA161" s="218"/>
      <c r="AB161" s="219" t="str">
        <f>IF(AC160="","",AQ158*AD160*AR160*((1+0.00393*(F161-20))/1.2751)/AC160)</f>
        <v/>
      </c>
      <c r="AC161" s="216"/>
      <c r="AD161" s="217" t="str">
        <f>IF(AC160="","",(BA161/50)*AQ158*AD160*AR161/AC160)</f>
        <v/>
      </c>
      <c r="AE161" s="242"/>
      <c r="AF161" s="150" t="str">
        <f>IF(AND(AX158&lt;&gt;"",D158=""),AX158,"")</f>
        <v/>
      </c>
      <c r="AG161" s="243" t="str">
        <f>IF(AP160="","",AP160)</f>
        <v/>
      </c>
      <c r="AH161" s="244"/>
      <c r="AI161" s="151" t="str">
        <f>IF(AP161="","",AP161)</f>
        <v/>
      </c>
      <c r="AJ161" s="212"/>
      <c r="AK161" s="214"/>
      <c r="AL161" s="152"/>
      <c r="AM161" s="59"/>
      <c r="AN161" s="153" t="b">
        <f>IF(BA158="","",IF(AND(BA158=3,F160=50,L158="油入自冷"),VLOOKUP(L160,変３,3,FALSE),IF(AND(BA158=3,F160=50,L158="モ－ルド絶縁"),VLOOKUP(L160,変３,8,FALSE),IF(AND(BA158=3,F160=60,L158="油入自冷"),VLOOKUP(L160,変３,13,FALSE),IF(AND(BA158=3,F160=60,L158="モ－ルド絶縁"),VLOOKUP(L160,変３,18,FALSE),FALSE)))))</f>
        <v>0</v>
      </c>
      <c r="AO161" s="153" t="str">
        <f>IF(AND(L154="",N(AY159)&lt;10^29),AY159,"")</f>
        <v/>
      </c>
      <c r="AP161" s="154" t="str">
        <f>IF(V158="","",IF(AND(N(V161)=0,N(AP159)=0),0,(AQ161-AP159*(AQ160^2+AQ161^2))/((AQ160*AP159)^2+(AP159*AQ161-1)^2)))</f>
        <v/>
      </c>
      <c r="AQ161" s="155">
        <f>IF(N(V161)=0,10^30,V161)</f>
        <v>1E+30</v>
      </c>
      <c r="AR161" s="153" t="str">
        <f>IF(AB158="","",IF(AB158="600V IV",VLOOKUP(AB160,ＩＶ,3,FALSE),IF(AB158="600V CV-T",VLOOKUP(AB160,ＣＶＴ,3,FALSE),IF(OR(AB158="600V CV-1C",AB158="600V CV-2C",AB158="600V CV-3C",AB158="600V CV-4C"),VLOOKUP(AB160,ＣＶ２３Ｃ,3,FALSE),VLOOKUP(AB160,ＣＵＳＥＲ,3,FALSE)))))</f>
        <v/>
      </c>
      <c r="AS161" s="155" t="str">
        <f>IF(OR(AND(AS218="",AS219=""),AND(D158="",D218&lt;&gt;"")),AS159,(AS159*(AT218^2+AT219^2)+AT219*(AS158^2+AS159^2))/((AS158+AT218)^2+(AS159+AT219)^2))</f>
        <v/>
      </c>
      <c r="AT161" s="156" t="str">
        <f>IF(Z161="",AS161,N(AS161)+(Z161/1000))</f>
        <v/>
      </c>
      <c r="AU161" s="156" t="str">
        <f>IF(AU159="","",(AT161*(AU158^2+AU159^2)+AU159*(AT160^2+AT161^2))/((AT160+AU158)^2+(AT161+AU159)^2))</f>
        <v/>
      </c>
      <c r="AV161" s="156">
        <f>AV157+AV160</f>
        <v>18</v>
      </c>
      <c r="AW161" s="155" t="str">
        <f>IF(AO161="","",AW159+AO161)</f>
        <v/>
      </c>
      <c r="AX161" s="157"/>
      <c r="AY161" s="140">
        <f>IF(L160="",10^30,SQRT(BA158)*(BA160^2)*(N(AN159)+N(AN161)+N(AO159)+N(AV159))/(100000*L160*M158))</f>
        <v>1E+30</v>
      </c>
      <c r="AZ161" s="141"/>
      <c r="BA161" s="114">
        <f>IF(AND(F160="",SUM(S158:S161)&lt;&gt;0),BA157,F160)</f>
        <v>0</v>
      </c>
      <c r="BB161" s="115">
        <f>IF(AND(BA158=3,S161&lt;&gt;""),1,0)</f>
        <v>0</v>
      </c>
      <c r="BC161" s="52"/>
      <c r="BD161" s="52"/>
      <c r="BH161" s="162"/>
      <c r="BI161" s="162"/>
      <c r="BJ161" s="4"/>
      <c r="BK161" s="4"/>
    </row>
    <row r="162" spans="1:63" ht="15" customHeight="1" x14ac:dyDescent="0.15">
      <c r="A162" s="159"/>
      <c r="B162" s="159"/>
      <c r="C162" s="245" t="str">
        <f>IF(BH162=1,"●","・")</f>
        <v>・</v>
      </c>
      <c r="D162" s="425"/>
      <c r="E162" s="447"/>
      <c r="F162" s="427"/>
      <c r="G162" s="240" t="str">
        <f>IF(F162="","","φ")</f>
        <v/>
      </c>
      <c r="H162" s="428"/>
      <c r="I162" s="240" t="str">
        <f>IF(H162="","","W")</f>
        <v/>
      </c>
      <c r="J162" s="428"/>
      <c r="K162" s="246" t="str">
        <f>IF(J162="","","V")</f>
        <v/>
      </c>
      <c r="L162" s="429"/>
      <c r="M162" s="430"/>
      <c r="N162" s="431"/>
      <c r="O162" s="164"/>
      <c r="P162" s="194"/>
      <c r="Q162" s="165"/>
      <c r="R162" s="166"/>
      <c r="S162" s="167" t="str">
        <f>IF(R162="","",IF(Q162="",P162/R162,P162/(Q162*R162)))</f>
        <v/>
      </c>
      <c r="T162" s="168"/>
      <c r="U162" s="169" t="str">
        <f>IF(OR(BA164="",S162=""),"",S162*1000*T162/(SQRT(BA162)*BA164))</f>
        <v/>
      </c>
      <c r="V162" s="236" t="str">
        <f>IF(AND(N(U162)=0,N(U163)=0,N(U164)=0,N(U165)=0),"",BA164/(SUM(U162:U165)))</f>
        <v/>
      </c>
      <c r="W162" s="220"/>
      <c r="X162" s="222"/>
      <c r="Y162" s="223"/>
      <c r="Z162" s="224"/>
      <c r="AA162" s="228"/>
      <c r="AB162" s="230"/>
      <c r="AC162" s="223"/>
      <c r="AD162" s="224"/>
      <c r="AE162" s="232"/>
      <c r="AF162" s="104" t="str">
        <f>IF(OR(AND(AF158="",N(BA160)=0,BA164&lt;&gt;0),D162&lt;&gt;""),AX164/AQ163,"")</f>
        <v/>
      </c>
      <c r="AG162" s="234" t="str">
        <f>IF(BA164=0,"",IF(AD164="",AX162,IF(AND(D162&lt;&gt;"",AU162=""),AX164*SQRT(AP164^2+AP165^2)/SQRT(AS162^2+AS163^2)/AQ163,AX162*SQRT(AP164^2+AP165^2)/SQRT(AS162^2+AS163^2))))</f>
        <v/>
      </c>
      <c r="AH162" s="235"/>
      <c r="AI162" s="105" t="str">
        <f>IF(AG162="","",IF(N(U162)&lt;0,-AX162*AQ163/SQRT(AS162^2+AS163^2),AX162*AQ163/SQRT(AS162^2+AS163^2)))</f>
        <v/>
      </c>
      <c r="AJ162" s="201"/>
      <c r="AK162" s="202"/>
      <c r="AL162" s="106"/>
      <c r="AM162" s="59"/>
      <c r="AN162" s="107" t="b">
        <f>IF(BA162="","",IF(AND(BA162=1,F164=50,L162="油入自冷"),VLOOKUP(L164,変１,2,FALSE),IF(AND(BA162=1,F164=50,L162="モ－ルド絶縁"),VLOOKUP(L164,変１,7,FALSE),IF(AND(BA162=1,F164=60,L162="油入自冷"),VLOOKUP(L164,変１,12,FALSE),IF(AND(BA162=1,F164=60,L162="モ－ルド絶縁"),VLOOKUP(L164,変１,17,FALSE),FALSE)))))</f>
        <v>0</v>
      </c>
      <c r="AO162" s="107">
        <f>IF(ISNA(VLOOKUP(L164,変ＵＳＥＲ,2,FALSE)),0,VLOOKUP(L164,変ＵＳＥＲ,2,FALSE))</f>
        <v>0</v>
      </c>
      <c r="AP162" s="108">
        <f>IF(N162="",0,N162*1000/BA164^2/SQRT(BA162))</f>
        <v>0</v>
      </c>
      <c r="AQ162" s="107" t="b">
        <f>IF(BA162=1,2,IF(BA162=3,SQRT(3),FALSE))</f>
        <v>0</v>
      </c>
      <c r="AR162" s="109" t="str">
        <f>IF(X162="","",IF(X162="600V IV",VLOOKUP(X164,ＩＶ,2,FALSE),IF(X162="600V CV-T",VLOOKUP(X164,ＣＶＴ,2,FALSE),IF(OR(X162="600V CV-1C",X162="600V CV-2C",X162="600V CV-3C",X162="600V CV-4C"),VLOOKUP(X164,ＣＶ２３Ｃ,2,FALSE),VLOOKUP(X164,ＣＵＳＥＲ,2,FALSE)))))</f>
        <v/>
      </c>
      <c r="AS162" s="107" t="str">
        <f>IF(AB165="",AP164,AP164+(AB165/1000))</f>
        <v/>
      </c>
      <c r="AT162" s="110" t="str">
        <f>IF(AU164="",AT164,AU164)</f>
        <v/>
      </c>
      <c r="AU162" s="110" t="str">
        <f>IF(D162="","",IF(AND(D222="",D226&lt;&gt;"",AV165=AV229),AT226,IF(AND(D222="",D226="",D230&lt;&gt;"",AV225=AV233),AT230,IF(AND(D222="",D226="",D230="",D234&lt;&gt;"",AV229=AV237),AT234,IF(AND(D222="",D226="",D230="",D234="",D238&lt;&gt;"",AV233=AV241),AT238,IF(AND(D222="",D226="",D230="",D234="",D238="",D242&lt;&gt;"",AV237=AV245),AT242,IF(AND(D222="",D226="",D230="",D234="",D238="",D242="",D246&lt;&gt;"",AV241=AV249),AT246,"")))))))</f>
        <v/>
      </c>
      <c r="AV162" s="110" t="str">
        <f>IF(L162="発電機",IF(ISNA(VLOOKUP(L164,ＡＣＧ,2,FALSE)),0,VLOOKUP(L164,ＡＣＧ,2,FALSE)),"")</f>
        <v/>
      </c>
      <c r="AW162" s="111" t="str">
        <f>IF(AT162="","",AT162/((AT162*AP162)^2+(AT163*AP162-1)^2))</f>
        <v/>
      </c>
      <c r="AX162" s="112" t="str">
        <f>IF(BA164=0,"",IF(OR(AX158="",AF162&lt;&gt;""),AF162*SQRT(AS164^2+AS165^2)/SQRT(AT164^2+AT165^2),AX158*SQRT(AS164^2+AS165^2)/SQRT(AT164^2+AT165^2)))</f>
        <v/>
      </c>
      <c r="AY162" s="113">
        <f>IF(N(AY164)=10^30,10^30,IF(N(AY224)=10^30,(N(AY164)*(N(AY224)^2+N(AY225)^2)+N(AY224)*(N(AY164)^2+N(AY165)^2))/((N(AY164)+N(AY224))^2+(N(AY165)+N(AY225))^2),(N(AY164)*(N(AY222)^2+N(AY223)^2)+N(AY222)*(N(AY164)^2+N(AY165)^2))/((N(AY164)+N(AY222))^2+(N(AY165)+N(AY223))^2)))</f>
        <v>1E+30</v>
      </c>
      <c r="AZ162" s="52"/>
      <c r="BA162" s="114">
        <f>IF(AND(F162="",SUM(S162:S165)&lt;&gt;0),BA158,F162)</f>
        <v>0</v>
      </c>
      <c r="BB162" s="115">
        <f>IF(AND(BA162=3,S162&lt;&gt;""),1,0)</f>
        <v>0</v>
      </c>
      <c r="BC162" s="52"/>
      <c r="BD162" s="52"/>
      <c r="BH162" s="162">
        <f>IF(OR(E162="",F165="",AND(OR(P162="",Q162="",R162="",T162=""),OR(P163="",Q163="",R163="",T163=""),OR(P164="",Q164="",R164="",T164=""),OR(P165="",Q165="",R165="",T165="")),AND(OR(X162="",X164="",Y164="",Z164=""),OR(AB162="",AB164="",AC164="",AD164=""))),0,1)</f>
        <v>0</v>
      </c>
      <c r="BI162" s="162">
        <f>BH162+BI158</f>
        <v>4</v>
      </c>
      <c r="BJ162" s="4"/>
      <c r="BK162" s="4"/>
    </row>
    <row r="163" spans="1:63" ht="15" customHeight="1" x14ac:dyDescent="0.15">
      <c r="A163" s="159"/>
      <c r="B163" s="159"/>
      <c r="C163" s="245"/>
      <c r="D163" s="432"/>
      <c r="E163" s="448"/>
      <c r="F163" s="434"/>
      <c r="G163" s="241"/>
      <c r="H163" s="435"/>
      <c r="I163" s="241"/>
      <c r="J163" s="435"/>
      <c r="K163" s="247"/>
      <c r="L163" s="436"/>
      <c r="M163" s="170" t="str">
        <f>IF(L162="発電機",SQRT(AV162^2+AV163^2),IF(L164="","",IF(OR(L162="油入自冷",L162="モ－ルド絶縁"),IF(BA162=1,SQRT(AN162^2+AN163^2),IF(BA162=3,SQRT(AN164^2+AN165^2))),SQRT(AO162^2+AO163^2))))</f>
        <v/>
      </c>
      <c r="N163" s="437"/>
      <c r="O163" s="171"/>
      <c r="P163" s="195"/>
      <c r="Q163" s="172"/>
      <c r="R163" s="173"/>
      <c r="S163" s="174" t="str">
        <f t="shared" si="7"/>
        <v/>
      </c>
      <c r="T163" s="175"/>
      <c r="U163" s="176" t="str">
        <f>IF(OR(BA164="",S163=""),"",S163*1000*T163/(SQRT(BA162)*BA164))</f>
        <v/>
      </c>
      <c r="V163" s="237"/>
      <c r="W163" s="221"/>
      <c r="X163" s="225"/>
      <c r="Y163" s="226"/>
      <c r="Z163" s="227"/>
      <c r="AA163" s="229"/>
      <c r="AB163" s="231"/>
      <c r="AC163" s="226"/>
      <c r="AD163" s="227"/>
      <c r="AE163" s="233"/>
      <c r="AF163" s="124" t="str">
        <f>IF(OR(AF162="",AG158&lt;&gt;""),"",AF162*AQ163/SQRT(AT162^2+AT163^2))</f>
        <v/>
      </c>
      <c r="AG163" s="205" t="str">
        <f>IF(AG162="","",100*AG162*AQ163/BA164)</f>
        <v/>
      </c>
      <c r="AH163" s="206"/>
      <c r="AI163" s="207" t="str">
        <f>IF(BA164=0,"",IF(AI158="",AX164/SQRT(AT162^2+AT163^2),IF(AI166="","",IF(AT162&lt;0,-AX162*AQ159/SQRT(AT162^2+AT163^2),AX162*AQ159/SQRT(AT162^2+AT163^2)))))</f>
        <v/>
      </c>
      <c r="AJ163" s="203"/>
      <c r="AK163" s="204"/>
      <c r="AL163" s="125"/>
      <c r="AM163" s="59"/>
      <c r="AN163" s="107" t="b">
        <f>IF(BA162="","",IF(AND(BA162=1,F164=50,L162="油入自冷"),VLOOKUP(L164,変１,3,FALSE),IF(AND(BA162=1,F164=50,L162="モ－ルド絶縁"),VLOOKUP(L164,変１,8,FALSE),IF(AND(BA162=1,F164=60,L162="油入自冷"),VLOOKUP(L164,変１,13,FALSE),IF(AND(BA162=1,F164=60,L162="モ－ルド絶縁"),VLOOKUP(L164,変１,18,FALSE),FALSE)))))</f>
        <v>0</v>
      </c>
      <c r="AO163" s="107">
        <f>IF(ISNA(VLOOKUP(L164,変ＵＳＥＲ,3,FALSE)),0,VLOOKUP(L164,変ＵＳＥＲ,3,FALSE)*BA165/50)</f>
        <v>0</v>
      </c>
      <c r="AP163" s="108">
        <f>IF(W162="",0,W162*1000/BA164^2/SQRT(BA162))</f>
        <v>0</v>
      </c>
      <c r="AQ163" s="107">
        <f>IF(AND(BA162=1,BA163=2),1,IF(AND(BA162=3,BA163=3),1,IF(AND(BA162=1,BA163=3),2,IF(AND(BA162=3,BA163=4)*OR(BB162=1,BB163=1,BB164=1,BB165=1),1,SQRT(3)))))</f>
        <v>1.7320508075688772</v>
      </c>
      <c r="AR163" s="109" t="str">
        <f>IF(X162="","",IF(X162="600V IV",VLOOKUP(X164,ＩＶ,3,FALSE),IF(X162="600V CV-T",VLOOKUP(X164,ＣＶＴ,3,FALSE),IF(OR(X162="600V CV-1C",X162="600V CV-2C",X162="600V CV-3C",X162="600V CV-4C"),VLOOKUP(X164,ＣＶ２３Ｃ,3,FALSE),VLOOKUP(X164,ＣＵＳＥＲ,3,FALSE)))))</f>
        <v/>
      </c>
      <c r="AS163" s="107" t="str">
        <f>IF(AD165="",AP165,AP165+(AD165/1000))</f>
        <v/>
      </c>
      <c r="AT163" s="110" t="str">
        <f>IF(AU165="",AT165,AU165)</f>
        <v/>
      </c>
      <c r="AU163" s="110" t="str">
        <f>IF(D162="","",IF(AND(D222="",D226&lt;&gt;"",AV165=AV229),AT227,IF(AND(D222="",D226="",D230&lt;&gt;"",AV225=AV233),AT231,IF(AND(D222="",D226="",D230="",D234&lt;&gt;"",AV229=AV237),AT235,IF(AND(D222="",D226="",D230="",D234="",D238&lt;&gt;"",AV233=AV241),AT239,IF(AND(D222="",D226="",D230="",D234="",D238="",D242&lt;&gt;"",AV237=AV245),AT243,IF(AND(D222="",D226="",D230="",D234="",D238="",D242="",D246&lt;&gt;"",AV241=AV249),AT247,"")))))))</f>
        <v/>
      </c>
      <c r="AV163" s="109" t="str">
        <f>IF(L162="発電機",IF(ISNA(VLOOKUP(L164,ＡＣＧ,3,FALSE)),0,VLOOKUP(L164,ＡＣＧ,3,FALSE)*BA165/50),"")</f>
        <v/>
      </c>
      <c r="AW163" s="111" t="str">
        <f>IF(AT163="","",(AT163-AP162*(AT162^2+AT163^2))/((AT162*AP162)^2+(AP162*AT163-1)^2))</f>
        <v/>
      </c>
      <c r="AX163" s="112"/>
      <c r="AY163" s="113">
        <f>IF(N(AY165)=10^30,10^30,IF(N(AY225)=10^30,(N(AY165)*(N(AY224)^2+N(AY225)^2)+N(AY225)*(N(AY164)^2+N(AY165)^2))/((N(AY164)+N(AY224))^2+(N(AY165)+N(AY225))^2),(N(AY165)*(N(AY222)^2+N(AY223)^2)+N(AY223)*(N(AY164)^2+N(AY165)^2))/((N(AY164)+N(AY222))^2+(N(AY165)+N(AY223))^2)))</f>
        <v>1E+30</v>
      </c>
      <c r="AZ163" s="52"/>
      <c r="BA163" s="114">
        <f>IF(AND(H162="",SUM(S162:S165)&lt;&gt;0),BA159,H162)</f>
        <v>0</v>
      </c>
      <c r="BB163" s="115">
        <f>IF(AND(BA162=3,S163&lt;&gt;""),1,0)</f>
        <v>0</v>
      </c>
      <c r="BC163" s="52"/>
      <c r="BD163" s="52"/>
      <c r="BH163" s="162"/>
      <c r="BI163" s="162"/>
      <c r="BJ163" s="4"/>
      <c r="BK163" s="4"/>
    </row>
    <row r="164" spans="1:63" ht="15" customHeight="1" x14ac:dyDescent="0.15">
      <c r="A164" s="159"/>
      <c r="B164" s="159"/>
      <c r="C164" s="245"/>
      <c r="D164" s="432"/>
      <c r="E164" s="448"/>
      <c r="F164" s="438"/>
      <c r="G164" s="438"/>
      <c r="H164" s="438"/>
      <c r="I164" s="438"/>
      <c r="J164" s="438"/>
      <c r="K164" s="439"/>
      <c r="L164" s="440"/>
      <c r="M164" s="441"/>
      <c r="N164" s="437"/>
      <c r="O164" s="171"/>
      <c r="P164" s="196"/>
      <c r="Q164" s="177"/>
      <c r="R164" s="173"/>
      <c r="S164" s="174" t="str">
        <f t="shared" si="7"/>
        <v/>
      </c>
      <c r="T164" s="175"/>
      <c r="U164" s="178" t="str">
        <f>IF(OR(BA164="",S164=""),"",S164*1000*T164/(SQRT(BA162)*BA164))</f>
        <v/>
      </c>
      <c r="V164" s="179" t="str">
        <f>IF(AND(N(U162)=0,N(U163)=0,N(U164)=0,N(U165)=0),"",V162*(P162*R162*T162+P163*R163*T163+P164*R164*T164+P165*R165*T165)/(P162*T162+P163*T163+P164*T164+P165*T165))</f>
        <v/>
      </c>
      <c r="W164" s="209" t="str">
        <f>IF(AND(N(AP164)=0,N(AP165)=0,N(AP163)=0),"",IF(AP165&gt;=0,COS(ATAN(AP165/AP164)),-COS(ATAN(AP165/AP164))))</f>
        <v/>
      </c>
      <c r="X164" s="180"/>
      <c r="Y164" s="181"/>
      <c r="Z164" s="182"/>
      <c r="AA164" s="183"/>
      <c r="AB164" s="184"/>
      <c r="AC164" s="181"/>
      <c r="AD164" s="182"/>
      <c r="AE164" s="185"/>
      <c r="AF164" s="136" t="str">
        <f>IF(OR(AF162="",AG158&lt;&gt;""),"",BA164/SQRT(AW164^2+AW165^2))</f>
        <v/>
      </c>
      <c r="AG164" s="205" t="str">
        <f>IF(AG162="","",100*((BA164/AQ163)-AG162)/(BA164/AQ163))</f>
        <v/>
      </c>
      <c r="AH164" s="206"/>
      <c r="AI164" s="208"/>
      <c r="AJ164" s="211"/>
      <c r="AK164" s="213"/>
      <c r="AL164" s="137"/>
      <c r="AM164" s="59"/>
      <c r="AN164" s="138" t="b">
        <f>IF(BA162="","",IF(AND(BA162=3,F164=50,L162="油入自冷"),VLOOKUP(L164,変３,2,FALSE),IF(AND(BA162=3,F164=50,L162="モ－ルド絶縁"),VLOOKUP(L164,変３,7,FALSE),IF(AND(BA162=3,F164=60,L162="油入自冷"),VLOOKUP(L164,変３,12,FALSE),IF(AND(BA162=3,F164=60,L162="モ－ルド絶縁"),VLOOKUP(L164,変３,17,FALSE),FALSE)))))</f>
        <v>0</v>
      </c>
      <c r="AO164" s="109" t="str">
        <f>IF(AND(L158="",N(AY162)&lt;10^29),AY162,"")</f>
        <v/>
      </c>
      <c r="AP164" s="139" t="str">
        <f>IF(V162="","",IF(AND(N(V164)=0,N(AP163)=0),"",AQ164/((AQ164*AP163)^2+(AP163*AQ165-1)^2)))</f>
        <v/>
      </c>
      <c r="AQ164" s="107">
        <f>IF(N(V164)=0,10^30,V164)</f>
        <v>1E+30</v>
      </c>
      <c r="AR164" s="109" t="str">
        <f>IF(AB162="","",IF(AB162="600V IV",VLOOKUP(AB164,ＩＶ,2,FALSE),IF(AB162="600V CV-T",VLOOKUP(AB164,ＣＶＴ,2,FALSE),IF(OR(AB162="600V CV-1C",AB162="600V CV-2C",AB162="600V CV-3C",AB162="600V CV-4C"),VLOOKUP(AB164,ＣＶ２３Ｃ,2,FALSE),VLOOKUP(AB164,ＣＵＳＥＲ,2,FALSE)))))</f>
        <v/>
      </c>
      <c r="AS164" s="107" t="str">
        <f>IF(OR(AND(AS222="",AS223=""),AND(D162="",D222&lt;&gt;"")),AS162,(AS162*(AT222^2+AT223^2)+AT222*(AS162^2+AS163^2))/((AS162+AT222)^2+(AS163+AT223)^2))</f>
        <v/>
      </c>
      <c r="AT164" s="110" t="str">
        <f>IF(X165="",AS164,N(AS164)+(X165/1000))</f>
        <v/>
      </c>
      <c r="AU164" s="110" t="str">
        <f>IF(AU162="","",(AT164*(AU162^2+AU163^2)+AU162*(AT164^2+AT165^2))/((AT164+AU162)^2+(AT165+AU163)^2))</f>
        <v/>
      </c>
      <c r="AV164" s="110">
        <f>IF(BA164=0,1,0)</f>
        <v>1</v>
      </c>
      <c r="AW164" s="111" t="str">
        <f>IF(AO164="","",AW162+AO164)</f>
        <v/>
      </c>
      <c r="AX164" s="112" t="str">
        <f>IF(AND(AX160="",AW164&lt;&gt;""),BA164*SQRT(AW162^2+AW163^2)/SQRT(AW164^2+AW165^2),IF(BA164&lt;&gt;0,AX160,""))</f>
        <v/>
      </c>
      <c r="AY164" s="140">
        <f>IF(L164="",10^30,SQRT(BA162)*(BA164^2)*(N(AN162)+N(AN164)+N(AO162)+N(AV162))/(100000*L164*M162))</f>
        <v>1E+30</v>
      </c>
      <c r="AZ164" s="141"/>
      <c r="BA164" s="114">
        <f>IF(AND(J162="",SUM(S162:S165)&lt;&gt;0),BA160,J162)</f>
        <v>0</v>
      </c>
      <c r="BB164" s="115">
        <f>IF(AND(BA162=3,S164&lt;&gt;""),1,0)</f>
        <v>0</v>
      </c>
      <c r="BC164" s="52"/>
      <c r="BD164" s="52"/>
      <c r="BH164" s="162"/>
      <c r="BI164" s="162"/>
      <c r="BJ164" s="4"/>
      <c r="BK164" s="4"/>
    </row>
    <row r="165" spans="1:63" ht="15" customHeight="1" x14ac:dyDescent="0.15">
      <c r="A165" s="159"/>
      <c r="B165" s="159"/>
      <c r="C165" s="245"/>
      <c r="D165" s="442"/>
      <c r="E165" s="449"/>
      <c r="F165" s="444"/>
      <c r="G165" s="444"/>
      <c r="H165" s="444"/>
      <c r="I165" s="444"/>
      <c r="J165" s="444"/>
      <c r="K165" s="445"/>
      <c r="L165" s="238" t="str">
        <f>IF(M162="","",L164*1000*M162/(SQRT(BA162)*BA164))</f>
        <v/>
      </c>
      <c r="M165" s="239"/>
      <c r="N165" s="446"/>
      <c r="O165" s="186"/>
      <c r="P165" s="197"/>
      <c r="Q165" s="187"/>
      <c r="R165" s="188"/>
      <c r="S165" s="189" t="str">
        <f t="shared" si="7"/>
        <v/>
      </c>
      <c r="T165" s="190"/>
      <c r="U165" s="191" t="str">
        <f>IF(OR(BA164="",S165=""),"",S165*1000*T165/(SQRT(BA162)*BA164))</f>
        <v/>
      </c>
      <c r="V165" s="192" t="str">
        <f>IF(AND(N(U162)=0,N(U163)=0,N(U164)=0,N(U165)=0),"",IF(V162&gt;=0,SQRT(ABS(V162^2-V164^2)),-SQRT(V162^2-V164^2)))</f>
        <v/>
      </c>
      <c r="W165" s="210"/>
      <c r="X165" s="215" t="str">
        <f>IF(Y164="","",AQ162*Z164*AR162*((1+0.00393*(F165-20))/1.2751)/Y164)</f>
        <v/>
      </c>
      <c r="Y165" s="216"/>
      <c r="Z165" s="217" t="str">
        <f>IF(Y164="","",(BA165/50)*AQ162*Z164*AR163/Y164)</f>
        <v/>
      </c>
      <c r="AA165" s="218"/>
      <c r="AB165" s="219" t="str">
        <f>IF(AC164="","",AQ162*AD164*AR164*((1+0.00393*(F165-20))/1.2751)/AC164)</f>
        <v/>
      </c>
      <c r="AC165" s="216"/>
      <c r="AD165" s="217" t="str">
        <f>IF(AC164="","",(BA165/50)*AQ162*AD164*AR165/AC164)</f>
        <v/>
      </c>
      <c r="AE165" s="242"/>
      <c r="AF165" s="150" t="str">
        <f>IF(AND(AX162&lt;&gt;"",D162=""),AX162,"")</f>
        <v/>
      </c>
      <c r="AG165" s="243" t="str">
        <f>IF(AP164="","",AP164)</f>
        <v/>
      </c>
      <c r="AH165" s="244"/>
      <c r="AI165" s="151" t="str">
        <f>IF(AP165="","",AP165)</f>
        <v/>
      </c>
      <c r="AJ165" s="212"/>
      <c r="AK165" s="214"/>
      <c r="AL165" s="152"/>
      <c r="AM165" s="59"/>
      <c r="AN165" s="153" t="b">
        <f>IF(BA162="","",IF(AND(BA162=3,F164=50,L162="油入自冷"),VLOOKUP(L164,変３,3,FALSE),IF(AND(BA162=3,F164=50,L162="モ－ルド絶縁"),VLOOKUP(L164,変３,8,FALSE),IF(AND(BA162=3,F164=60,L162="油入自冷"),VLOOKUP(L164,変３,13,FALSE),IF(AND(BA162=3,F164=60,L162="モ－ルド絶縁"),VLOOKUP(L164,変３,18,FALSE),FALSE)))))</f>
        <v>0</v>
      </c>
      <c r="AO165" s="153" t="str">
        <f>IF(AND(L158="",N(AY163)&lt;10^29),AY163,"")</f>
        <v/>
      </c>
      <c r="AP165" s="154" t="str">
        <f>IF(V162="","",IF(AND(N(V165)=0,N(AP163)=0),0,(AQ165-AP163*(AQ164^2+AQ165^2))/((AQ164*AP163)^2+(AP163*AQ165-1)^2)))</f>
        <v/>
      </c>
      <c r="AQ165" s="155">
        <f>IF(N(V165)=0,10^30,V165)</f>
        <v>1E+30</v>
      </c>
      <c r="AR165" s="153" t="str">
        <f>IF(AB162="","",IF(AB162="600V IV",VLOOKUP(AB164,ＩＶ,3,FALSE),IF(AB162="600V CV-T",VLOOKUP(AB164,ＣＶＴ,3,FALSE),IF(OR(AB162="600V CV-1C",AB162="600V CV-2C",AB162="600V CV-3C",AB162="600V CV-4C"),VLOOKUP(AB164,ＣＶ２３Ｃ,3,FALSE),VLOOKUP(AB164,ＣＵＳＥＲ,3,FALSE)))))</f>
        <v/>
      </c>
      <c r="AS165" s="155" t="str">
        <f>IF(OR(AND(AS222="",AS223=""),AND(D162="",D222&lt;&gt;"")),AS163,(AS163*(AT222^2+AT223^2)+AT223*(AS162^2+AS163^2))/((AS162+AT222)^2+(AS163+AT223)^2))</f>
        <v/>
      </c>
      <c r="AT165" s="156" t="str">
        <f>IF(Z165="",AS165,N(AS165)+(Z165/1000))</f>
        <v/>
      </c>
      <c r="AU165" s="156" t="str">
        <f>IF(AU163="","",(AT165*(AU162^2+AU163^2)+AU163*(AT164^2+AT165^2))/((AT164+AU162)^2+(AT165+AU163)^2))</f>
        <v/>
      </c>
      <c r="AV165" s="156">
        <f>AV161+AV164</f>
        <v>19</v>
      </c>
      <c r="AW165" s="155" t="str">
        <f>IF(AO165="","",AW163+AO165)</f>
        <v/>
      </c>
      <c r="AX165" s="157"/>
      <c r="AY165" s="140">
        <f>IF(L164="",10^30,SQRT(BA162)*(BA164^2)*(N(AN163)+N(AN165)+N(AO163)+N(AV163))/(100000*L164*M162))</f>
        <v>1E+30</v>
      </c>
      <c r="AZ165" s="141"/>
      <c r="BA165" s="114">
        <f>IF(AND(F164="",SUM(S162:S165)&lt;&gt;0),BA161,F164)</f>
        <v>0</v>
      </c>
      <c r="BB165" s="115">
        <f>IF(AND(BA162=3,S165&lt;&gt;""),1,0)</f>
        <v>0</v>
      </c>
      <c r="BC165" s="52"/>
      <c r="BD165" s="52"/>
      <c r="BH165" s="162"/>
      <c r="BI165" s="162"/>
      <c r="BJ165" s="4"/>
      <c r="BK165" s="4"/>
    </row>
    <row r="166" spans="1:63" ht="15" customHeight="1" x14ac:dyDescent="0.15">
      <c r="A166" s="159"/>
      <c r="B166" s="159"/>
      <c r="C166" s="245" t="str">
        <f>IF(BH166=1,"●","・")</f>
        <v>・</v>
      </c>
      <c r="D166" s="425"/>
      <c r="E166" s="447"/>
      <c r="F166" s="427"/>
      <c r="G166" s="240" t="str">
        <f>IF(F166="","","φ")</f>
        <v/>
      </c>
      <c r="H166" s="428"/>
      <c r="I166" s="240" t="str">
        <f>IF(H166="","","W")</f>
        <v/>
      </c>
      <c r="J166" s="428"/>
      <c r="K166" s="246" t="str">
        <f>IF(J166="","","V")</f>
        <v/>
      </c>
      <c r="L166" s="429"/>
      <c r="M166" s="430"/>
      <c r="N166" s="431"/>
      <c r="O166" s="164"/>
      <c r="P166" s="194"/>
      <c r="Q166" s="165"/>
      <c r="R166" s="166"/>
      <c r="S166" s="167" t="str">
        <f>IF(R166="","",IF(Q166="",P166/R166,P166/(Q166*R166)))</f>
        <v/>
      </c>
      <c r="T166" s="168"/>
      <c r="U166" s="169" t="str">
        <f>IF(OR(BA168="",S166=""),"",S166*1000*T166/(SQRT(BA166)*BA168))</f>
        <v/>
      </c>
      <c r="V166" s="236" t="str">
        <f>IF(AND(N(U166)=0,N(U167)=0,N(U168)=0,N(U169)=0),"",BA168/(SUM(U166:U169)))</f>
        <v/>
      </c>
      <c r="W166" s="220"/>
      <c r="X166" s="222"/>
      <c r="Y166" s="223"/>
      <c r="Z166" s="224"/>
      <c r="AA166" s="228"/>
      <c r="AB166" s="230"/>
      <c r="AC166" s="223"/>
      <c r="AD166" s="224"/>
      <c r="AE166" s="232"/>
      <c r="AF166" s="104" t="str">
        <f>IF(OR(AND(AF162="",N(BA164)=0,BA168&lt;&gt;0),D166&lt;&gt;""),AX168/AQ167,"")</f>
        <v/>
      </c>
      <c r="AG166" s="234" t="str">
        <f>IF(BA168=0,"",IF(AD168="",AX166,IF(AND(D166&lt;&gt;"",AU166=""),AX168*SQRT(AP168^2+AP169^2)/SQRT(AS166^2+AS167^2)/AQ167,AX166*SQRT(AP168^2+AP169^2)/SQRT(AS166^2+AS167^2))))</f>
        <v/>
      </c>
      <c r="AH166" s="235"/>
      <c r="AI166" s="105" t="str">
        <f>IF(AG166="","",IF(N(U166)&lt;0,-AX166*AQ167/SQRT(AS166^2+AS167^2),AX166*AQ167/SQRT(AS166^2+AS167^2)))</f>
        <v/>
      </c>
      <c r="AJ166" s="201"/>
      <c r="AK166" s="202"/>
      <c r="AL166" s="106"/>
      <c r="AM166" s="59"/>
      <c r="AN166" s="107" t="b">
        <f>IF(BA166="","",IF(AND(BA166=1,F168=50,L166="油入自冷"),VLOOKUP(L168,変１,2,FALSE),IF(AND(BA166=1,F168=50,L166="モ－ルド絶縁"),VLOOKUP(L168,変１,7,FALSE),IF(AND(BA166=1,F168=60,L166="油入自冷"),VLOOKUP(L168,変１,12,FALSE),IF(AND(BA166=1,F168=60,L166="モ－ルド絶縁"),VLOOKUP(L168,変１,17,FALSE),FALSE)))))</f>
        <v>0</v>
      </c>
      <c r="AO166" s="107">
        <f>IF(ISNA(VLOOKUP(L168,変ＵＳＥＲ,2,FALSE)),0,VLOOKUP(L168,変ＵＳＥＲ,2,FALSE))</f>
        <v>0</v>
      </c>
      <c r="AP166" s="108">
        <f>IF(N166="",0,N166*1000/BA168^2/SQRT(BA166))</f>
        <v>0</v>
      </c>
      <c r="AQ166" s="107" t="b">
        <f>IF(BA166=1,2,IF(BA166=3,SQRT(3),FALSE))</f>
        <v>0</v>
      </c>
      <c r="AR166" s="109" t="str">
        <f>IF(X166="","",IF(X166="600V IV",VLOOKUP(X168,ＩＶ,2,FALSE),IF(X166="600V CV-T",VLOOKUP(X168,ＣＶＴ,2,FALSE),IF(OR(X166="600V CV-1C",X166="600V CV-2C",X166="600V CV-3C",X166="600V CV-4C"),VLOOKUP(X168,ＣＶ２３Ｃ,2,FALSE),VLOOKUP(X168,ＣＵＳＥＲ,2,FALSE)))))</f>
        <v/>
      </c>
      <c r="AS166" s="107" t="str">
        <f>IF(AB169="",AP168,AP168+(AB169/1000))</f>
        <v/>
      </c>
      <c r="AT166" s="110" t="str">
        <f>IF(AU168="",AT168,AU168)</f>
        <v/>
      </c>
      <c r="AU166" s="110" t="str">
        <f>IF(D166="","",IF(AND(D226="",D230&lt;&gt;"",AV169=AV233),AT230,IF(AND(D226="",D230="",D234&lt;&gt;"",AV229=AV237),AT234,IF(AND(D226="",D230="",D234="",D238&lt;&gt;"",AV233=AV241),AT238,IF(AND(D226="",D230="",D234="",D238="",D242&lt;&gt;"",AV237=AV245),AT242,IF(AND(D226="",D230="",D234="",D238="",D242="",D246&lt;&gt;"",AV241=AV249),AT246,IF(AND(D226="",D230="",D234="",D238="",D242="",D246="",D250&lt;&gt;"",AV245=AV253),AT250,"")))))))</f>
        <v/>
      </c>
      <c r="AV166" s="110" t="str">
        <f>IF(L166="発電機",IF(ISNA(VLOOKUP(L168,ＡＣＧ,2,FALSE)),0,VLOOKUP(L168,ＡＣＧ,2,FALSE)),"")</f>
        <v/>
      </c>
      <c r="AW166" s="111" t="str">
        <f>IF(AT166="","",AT166/((AT166*AP166)^2+(AT167*AP166-1)^2))</f>
        <v/>
      </c>
      <c r="AX166" s="112" t="str">
        <f>IF(BA168=0,"",IF(OR(AX162="",AF166&lt;&gt;""),AF166*SQRT(AS168^2+AS169^2)/SQRT(AT168^2+AT169^2),AX162*SQRT(AS168^2+AS169^2)/SQRT(AT168^2+AT169^2)))</f>
        <v/>
      </c>
      <c r="AY166" s="113">
        <f>IF(N(AY168)=10^30,10^30,IF(N(AY228)=10^30,(N(AY168)*(N(AY228)^2+N(AY229)^2)+N(AY228)*(N(AY168)^2+N(AY169)^2))/((N(AY168)+N(AY228))^2+(N(AY169)+N(AY229))^2),(N(AY168)*(N(AY226)^2+N(AY227)^2)+N(AY226)*(N(AY168)^2+N(AY169)^2))/((N(AY168)+N(AY226))^2+(N(AY169)+N(AY227))^2)))</f>
        <v>1E+30</v>
      </c>
      <c r="AZ166" s="52"/>
      <c r="BA166" s="114">
        <f>IF(AND(F166="",SUM(S166:S169)&lt;&gt;0),BA162,F166)</f>
        <v>0</v>
      </c>
      <c r="BB166" s="115">
        <f>IF(AND(BA166=3,S166&lt;&gt;""),1,0)</f>
        <v>0</v>
      </c>
      <c r="BC166" s="52"/>
      <c r="BD166" s="52"/>
      <c r="BH166" s="162">
        <f>IF(OR(E166="",F169="",AND(OR(P166="",Q166="",R166="",T166=""),OR(P167="",Q167="",R167="",T167=""),OR(P168="",Q168="",R168="",T168=""),OR(P169="",Q169="",R169="",T169="")),AND(OR(X166="",X168="",Y168="",Z168=""),OR(AB166="",AB168="",AC168="",AD168=""))),0,1)</f>
        <v>0</v>
      </c>
      <c r="BI166" s="162">
        <f>BH166+BI162</f>
        <v>4</v>
      </c>
      <c r="BJ166" s="4"/>
      <c r="BK166" s="4"/>
    </row>
    <row r="167" spans="1:63" ht="15" customHeight="1" x14ac:dyDescent="0.15">
      <c r="A167" s="159"/>
      <c r="B167" s="159"/>
      <c r="C167" s="245"/>
      <c r="D167" s="432"/>
      <c r="E167" s="448"/>
      <c r="F167" s="434"/>
      <c r="G167" s="241"/>
      <c r="H167" s="435"/>
      <c r="I167" s="241"/>
      <c r="J167" s="435"/>
      <c r="K167" s="247"/>
      <c r="L167" s="436"/>
      <c r="M167" s="170" t="str">
        <f>IF(L166="発電機",SQRT(AV166^2+AV167^2),IF(L168="","",IF(OR(L166="油入自冷",L166="モ－ルド絶縁"),IF(BA166=1,SQRT(AN166^2+AN167^2),IF(BA166=3,SQRT(AN168^2+AN169^2))),SQRT(AO166^2+AO167^2))))</f>
        <v/>
      </c>
      <c r="N167" s="437"/>
      <c r="O167" s="171"/>
      <c r="P167" s="195"/>
      <c r="Q167" s="172"/>
      <c r="R167" s="173"/>
      <c r="S167" s="174" t="str">
        <f t="shared" si="7"/>
        <v/>
      </c>
      <c r="T167" s="175"/>
      <c r="U167" s="176" t="str">
        <f>IF(OR(BA168="",S167=""),"",S167*1000*T167/(SQRT(BA166)*BA168))</f>
        <v/>
      </c>
      <c r="V167" s="237"/>
      <c r="W167" s="221"/>
      <c r="X167" s="225"/>
      <c r="Y167" s="226"/>
      <c r="Z167" s="227"/>
      <c r="AA167" s="229"/>
      <c r="AB167" s="231"/>
      <c r="AC167" s="226"/>
      <c r="AD167" s="227"/>
      <c r="AE167" s="233"/>
      <c r="AF167" s="124" t="str">
        <f>IF(OR(AF166="",AG162&lt;&gt;""),"",AF166*AQ167/SQRT(AT166^2+AT167^2))</f>
        <v/>
      </c>
      <c r="AG167" s="205" t="str">
        <f>IF(AG166="","",100*AG166*AQ167/BA168)</f>
        <v/>
      </c>
      <c r="AH167" s="206"/>
      <c r="AI167" s="207" t="str">
        <f>IF(BA168=0,"",IF(AI162="",AX168/SQRT(AT166^2+AT167^2),IF(AI170="","",IF(AT166&lt;0,-AX166*AQ163/SQRT(AT166^2+AT167^2),AX166*AQ163/SQRT(AT166^2+AT167^2)))))</f>
        <v/>
      </c>
      <c r="AJ167" s="203"/>
      <c r="AK167" s="204"/>
      <c r="AL167" s="125"/>
      <c r="AM167" s="59"/>
      <c r="AN167" s="107" t="b">
        <f>IF(BA166="","",IF(AND(BA166=1,F168=50,L166="油入自冷"),VLOOKUP(L168,変１,3,FALSE),IF(AND(BA166=1,F168=50,L166="モ－ルド絶縁"),VLOOKUP(L168,変１,8,FALSE),IF(AND(BA166=1,F168=60,L166="油入自冷"),VLOOKUP(L168,変１,13,FALSE),IF(AND(BA166=1,F168=60,L166="モ－ルド絶縁"),VLOOKUP(L168,変１,18,FALSE),FALSE)))))</f>
        <v>0</v>
      </c>
      <c r="AO167" s="107">
        <f>IF(ISNA(VLOOKUP(L168,変ＵＳＥＲ,3,FALSE)),0,VLOOKUP(L168,変ＵＳＥＲ,3,FALSE)*BA169/50)</f>
        <v>0</v>
      </c>
      <c r="AP167" s="108">
        <f>IF(W166="",0,W166*1000/BA168^2/SQRT(BA166))</f>
        <v>0</v>
      </c>
      <c r="AQ167" s="107">
        <f>IF(AND(BA166=1,BA167=2),1,IF(AND(BA166=3,BA167=3),1,IF(AND(BA166=1,BA167=3),2,IF(AND(BA166=3,BA167=4)*OR(BB166=1,BB167=1,BB168=1,BB169=1),1,SQRT(3)))))</f>
        <v>1.7320508075688772</v>
      </c>
      <c r="AR167" s="109" t="str">
        <f>IF(X166="","",IF(X166="600V IV",VLOOKUP(X168,ＩＶ,3,FALSE),IF(X166="600V CV-T",VLOOKUP(X168,ＣＶＴ,3,FALSE),IF(OR(X166="600V CV-1C",X166="600V CV-2C",X166="600V CV-3C",X166="600V CV-4C"),VLOOKUP(X168,ＣＶ２３Ｃ,3,FALSE),VLOOKUP(X168,ＣＵＳＥＲ,3,FALSE)))))</f>
        <v/>
      </c>
      <c r="AS167" s="107" t="str">
        <f>IF(AD169="",AP169,AP169+(AD169/1000))</f>
        <v/>
      </c>
      <c r="AT167" s="110" t="str">
        <f>IF(AU169="",AT169,AU169)</f>
        <v/>
      </c>
      <c r="AU167" s="110" t="str">
        <f>IF(D166="","",IF(AND(D226="",D230&lt;&gt;"",AV169=AV233),AT231,IF(AND(D226="",D230="",D234&lt;&gt;"",AV229=AV237),AT235,IF(AND(D226="",D230="",D234="",D238&lt;&gt;"",AV233=AV241),AT239,IF(AND(D226="",D230="",D234="",D238="",D242&lt;&gt;"",AV237=AV245),AT243,IF(AND(D226="",D230="",D234="",D238="",D242="",D246&lt;&gt;"",AV241=AV249),AT247,IF(AND(D226="",D230="",D234="",D238="",D242="",D246="",D250&lt;&gt;"",AV245=AV253),AT251,"")))))))</f>
        <v/>
      </c>
      <c r="AV167" s="109" t="str">
        <f>IF(L166="発電機",IF(ISNA(VLOOKUP(L168,ＡＣＧ,3,FALSE)),0,VLOOKUP(L168,ＡＣＧ,3,FALSE)*BA169/50),"")</f>
        <v/>
      </c>
      <c r="AW167" s="111" t="str">
        <f>IF(AT167="","",(AT167-AP166*(AT166^2+AT167^2))/((AT166*AP166)^2+(AP166*AT167-1)^2))</f>
        <v/>
      </c>
      <c r="AX167" s="112"/>
      <c r="AY167" s="113">
        <f>IF(N(AY169)=10^30,10^30,IF(N(AY229)=10^30,(N(AY169)*(N(AY228)^2+N(AY229)^2)+N(AY229)*(N(AY168)^2+N(AY169)^2))/((N(AY168)+N(AY228))^2+(N(AY169)+N(AY229))^2),(N(AY169)*(N(AY226)^2+N(AY227)^2)+N(AY227)*(N(AY168)^2+N(AY169)^2))/((N(AY168)+N(AY226))^2+(N(AY169)+N(AY227))^2)))</f>
        <v>1E+30</v>
      </c>
      <c r="AZ167" s="52"/>
      <c r="BA167" s="114">
        <f>IF(AND(H166="",SUM(S166:S169)&lt;&gt;0),BA163,H166)</f>
        <v>0</v>
      </c>
      <c r="BB167" s="115">
        <f>IF(AND(BA166=3,S167&lt;&gt;""),1,0)</f>
        <v>0</v>
      </c>
      <c r="BC167" s="52"/>
      <c r="BD167" s="52"/>
      <c r="BH167" s="162"/>
      <c r="BI167" s="162"/>
      <c r="BJ167" s="4"/>
      <c r="BK167" s="4"/>
    </row>
    <row r="168" spans="1:63" ht="15" customHeight="1" x14ac:dyDescent="0.15">
      <c r="A168" s="159"/>
      <c r="B168" s="159"/>
      <c r="C168" s="245"/>
      <c r="D168" s="432"/>
      <c r="E168" s="448"/>
      <c r="F168" s="438"/>
      <c r="G168" s="438"/>
      <c r="H168" s="438"/>
      <c r="I168" s="438"/>
      <c r="J168" s="438"/>
      <c r="K168" s="439"/>
      <c r="L168" s="440"/>
      <c r="M168" s="441"/>
      <c r="N168" s="437"/>
      <c r="O168" s="171"/>
      <c r="P168" s="196"/>
      <c r="Q168" s="177"/>
      <c r="R168" s="173"/>
      <c r="S168" s="174" t="str">
        <f t="shared" si="7"/>
        <v/>
      </c>
      <c r="T168" s="175"/>
      <c r="U168" s="178" t="str">
        <f>IF(OR(BA168="",S168=""),"",S168*1000*T168/(SQRT(BA166)*BA168))</f>
        <v/>
      </c>
      <c r="V168" s="179" t="str">
        <f>IF(AND(N(U166)=0,N(U167)=0,N(U168)=0,N(U169)=0),"",V166*(P166*R166*T166+P167*R167*T167+P168*R168*T168+P169*R169*T169)/(P166*T166+P167*T167+P168*T168+P169*T169))</f>
        <v/>
      </c>
      <c r="W168" s="209" t="str">
        <f>IF(AND(N(AP168)=0,N(AP169)=0,N(AP167)=0),"",IF(AP169&gt;=0,COS(ATAN(AP169/AP168)),-COS(ATAN(AP169/AP168))))</f>
        <v/>
      </c>
      <c r="X168" s="180"/>
      <c r="Y168" s="181"/>
      <c r="Z168" s="182"/>
      <c r="AA168" s="183"/>
      <c r="AB168" s="184"/>
      <c r="AC168" s="181"/>
      <c r="AD168" s="182"/>
      <c r="AE168" s="185"/>
      <c r="AF168" s="136" t="str">
        <f>IF(OR(AF166="",AG162&lt;&gt;""),"",BA168/SQRT(AW168^2+AW169^2))</f>
        <v/>
      </c>
      <c r="AG168" s="205" t="str">
        <f>IF(AG166="","",100*((BA168/AQ167)-AG166)/(BA168/AQ167))</f>
        <v/>
      </c>
      <c r="AH168" s="206"/>
      <c r="AI168" s="208"/>
      <c r="AJ168" s="211"/>
      <c r="AK168" s="213"/>
      <c r="AL168" s="137"/>
      <c r="AM168" s="59"/>
      <c r="AN168" s="138" t="b">
        <f>IF(BA166="","",IF(AND(BA166=3,F168=50,L166="油入自冷"),VLOOKUP(L168,変３,2,FALSE),IF(AND(BA166=3,F168=50,L166="モ－ルド絶縁"),VLOOKUP(L168,変３,7,FALSE),IF(AND(BA166=3,F168=60,L166="油入自冷"),VLOOKUP(L168,変３,12,FALSE),IF(AND(BA166=3,F168=60,L166="モ－ルド絶縁"),VLOOKUP(L168,変３,17,FALSE),FALSE)))))</f>
        <v>0</v>
      </c>
      <c r="AO168" s="109" t="str">
        <f>IF(AND(L162="",N(AY166)&lt;10^29),AY166,"")</f>
        <v/>
      </c>
      <c r="AP168" s="139" t="str">
        <f>IF(V166="","",IF(AND(N(V168)=0,N(AP167)=0),"",AQ168/((AQ168*AP167)^2+(AP167*AQ169-1)^2)))</f>
        <v/>
      </c>
      <c r="AQ168" s="107">
        <f>IF(N(V168)=0,10^30,V168)</f>
        <v>1E+30</v>
      </c>
      <c r="AR168" s="109" t="str">
        <f>IF(AB166="","",IF(AB166="600V IV",VLOOKUP(AB168,ＩＶ,2,FALSE),IF(AB166="600V CV-T",VLOOKUP(AB168,ＣＶＴ,2,FALSE),IF(OR(AB166="600V CV-1C",AB166="600V CV-2C",AB166="600V CV-3C",AB166="600V CV-4C"),VLOOKUP(AB168,ＣＶ２３Ｃ,2,FALSE),VLOOKUP(AB168,ＣＵＳＥＲ,2,FALSE)))))</f>
        <v/>
      </c>
      <c r="AS168" s="107" t="str">
        <f>IF(OR(AND(AS226="",AS227=""),AND(D166="",D226&lt;&gt;"")),AS166,(AS166*(AT226^2+AT227^2)+AT226*(AS166^2+AS167^2))/((AS166+AT226)^2+(AS167+AT227)^2))</f>
        <v/>
      </c>
      <c r="AT168" s="110" t="str">
        <f>IF(X169="",AS168,N(AS168)+(X169/1000))</f>
        <v/>
      </c>
      <c r="AU168" s="110" t="str">
        <f>IF(AU166="","",(AT168*(AU166^2+AU167^2)+AU166*(AT168^2+AT169^2))/((AT168+AU166)^2+(AT169+AU167)^2))</f>
        <v/>
      </c>
      <c r="AV168" s="110">
        <f>IF(BA168=0,1,0)</f>
        <v>1</v>
      </c>
      <c r="AW168" s="111" t="str">
        <f>IF(AO168="","",AW166+AO168)</f>
        <v/>
      </c>
      <c r="AX168" s="112" t="str">
        <f>IF(AND(AX164="",AW168&lt;&gt;""),BA168*SQRT(AW166^2+AW167^2)/SQRT(AW168^2+AW169^2),IF(BA168&lt;&gt;0,AX164,""))</f>
        <v/>
      </c>
      <c r="AY168" s="140">
        <f>IF(L168="",10^30,SQRT(BA166)*(BA168^2)*(N(AN166)+N(AN168)+N(AO166)+N(AV166))/(100000*L168*M166))</f>
        <v>1E+30</v>
      </c>
      <c r="AZ168" s="141"/>
      <c r="BA168" s="114">
        <f>IF(AND(J166="",SUM(S166:S169)&lt;&gt;0),BA164,J166)</f>
        <v>0</v>
      </c>
      <c r="BB168" s="115">
        <f>IF(AND(BA166=3,S168&lt;&gt;""),1,0)</f>
        <v>0</v>
      </c>
      <c r="BC168" s="52"/>
      <c r="BD168" s="52"/>
      <c r="BH168" s="162"/>
      <c r="BI168" s="162"/>
      <c r="BJ168" s="4"/>
      <c r="BK168" s="4"/>
    </row>
    <row r="169" spans="1:63" ht="15" customHeight="1" x14ac:dyDescent="0.15">
      <c r="A169" s="159"/>
      <c r="B169" s="159"/>
      <c r="C169" s="245"/>
      <c r="D169" s="442"/>
      <c r="E169" s="449"/>
      <c r="F169" s="444"/>
      <c r="G169" s="444"/>
      <c r="H169" s="444"/>
      <c r="I169" s="444"/>
      <c r="J169" s="444"/>
      <c r="K169" s="445"/>
      <c r="L169" s="238" t="str">
        <f>IF(M166="","",L168*1000*M166/(SQRT(BA166)*BA168))</f>
        <v/>
      </c>
      <c r="M169" s="239"/>
      <c r="N169" s="446"/>
      <c r="O169" s="186"/>
      <c r="P169" s="197"/>
      <c r="Q169" s="187"/>
      <c r="R169" s="188"/>
      <c r="S169" s="189" t="str">
        <f t="shared" si="7"/>
        <v/>
      </c>
      <c r="T169" s="190"/>
      <c r="U169" s="191" t="str">
        <f>IF(OR(BA168="",S169=""),"",S169*1000*T169/(SQRT(BA166)*BA168))</f>
        <v/>
      </c>
      <c r="V169" s="192" t="str">
        <f>IF(AND(N(U166)=0,N(U167)=0,N(U168)=0,N(U169)=0),"",IF(V166&gt;=0,SQRT(ABS(V166^2-V168^2)),-SQRT(V166^2-V168^2)))</f>
        <v/>
      </c>
      <c r="W169" s="210"/>
      <c r="X169" s="215" t="str">
        <f>IF(Y168="","",AQ166*Z168*AR166*((1+0.00393*(F169-20))/1.2751)/Y168)</f>
        <v/>
      </c>
      <c r="Y169" s="216"/>
      <c r="Z169" s="217" t="str">
        <f>IF(Y168="","",(BA169/50)*AQ166*Z168*AR167/Y168)</f>
        <v/>
      </c>
      <c r="AA169" s="218"/>
      <c r="AB169" s="219" t="str">
        <f>IF(AC168="","",AQ166*AD168*AR168*((1+0.00393*(F169-20))/1.2751)/AC168)</f>
        <v/>
      </c>
      <c r="AC169" s="216"/>
      <c r="AD169" s="217" t="str">
        <f>IF(AC168="","",(BA169/50)*AQ166*AD168*AR169/AC168)</f>
        <v/>
      </c>
      <c r="AE169" s="242"/>
      <c r="AF169" s="150" t="str">
        <f>IF(AND(AX166&lt;&gt;"",D166=""),AX166,"")</f>
        <v/>
      </c>
      <c r="AG169" s="243" t="str">
        <f>IF(AP168="","",AP168)</f>
        <v/>
      </c>
      <c r="AH169" s="244"/>
      <c r="AI169" s="151" t="str">
        <f>IF(AP169="","",AP169)</f>
        <v/>
      </c>
      <c r="AJ169" s="212"/>
      <c r="AK169" s="214"/>
      <c r="AL169" s="152"/>
      <c r="AM169" s="59"/>
      <c r="AN169" s="153" t="b">
        <f>IF(BA166="","",IF(AND(BA166=3,F168=50,L166="油入自冷"),VLOOKUP(L168,変３,3,FALSE),IF(AND(BA166=3,F168=50,L166="モ－ルド絶縁"),VLOOKUP(L168,変３,8,FALSE),IF(AND(BA166=3,F168=60,L166="油入自冷"),VLOOKUP(L168,変３,13,FALSE),IF(AND(BA166=3,F168=60,L166="モ－ルド絶縁"),VLOOKUP(L168,変３,18,FALSE),FALSE)))))</f>
        <v>0</v>
      </c>
      <c r="AO169" s="153" t="str">
        <f>IF(AND(L162="",N(AY167)&lt;10^29),AY167,"")</f>
        <v/>
      </c>
      <c r="AP169" s="154" t="str">
        <f>IF(V166="","",IF(AND(N(V169)=0,N(AP167)=0),0,(AQ169-AP167*(AQ168^2+AQ169^2))/((AQ168*AP167)^2+(AP167*AQ169-1)^2)))</f>
        <v/>
      </c>
      <c r="AQ169" s="155">
        <f>IF(N(V169)=0,10^30,V169)</f>
        <v>1E+30</v>
      </c>
      <c r="AR169" s="153" t="str">
        <f>IF(AB166="","",IF(AB166="600V IV",VLOOKUP(AB168,ＩＶ,3,FALSE),IF(AB166="600V CV-T",VLOOKUP(AB168,ＣＶＴ,3,FALSE),IF(OR(AB166="600V CV-1C",AB166="600V CV-2C",AB166="600V CV-3C",AB166="600V CV-4C"),VLOOKUP(AB168,ＣＶ２３Ｃ,3,FALSE),VLOOKUP(AB168,ＣＵＳＥＲ,3,FALSE)))))</f>
        <v/>
      </c>
      <c r="AS169" s="155" t="str">
        <f>IF(OR(AND(AS226="",AS227=""),AND(D166="",D226&lt;&gt;"")),AS167,(AS167*(AT226^2+AT227^2)+AT227*(AS166^2+AS167^2))/((AS166+AT226)^2+(AS167+AT227)^2))</f>
        <v/>
      </c>
      <c r="AT169" s="156" t="str">
        <f>IF(Z169="",AS169,N(AS169)+(Z169/1000))</f>
        <v/>
      </c>
      <c r="AU169" s="156" t="str">
        <f>IF(AU167="","",(AT169*(AU166^2+AU167^2)+AU167*(AT168^2+AT169^2))/((AT168+AU166)^2+(AT169+AU167)^2))</f>
        <v/>
      </c>
      <c r="AV169" s="156">
        <f>AV165+AV168</f>
        <v>20</v>
      </c>
      <c r="AW169" s="155" t="str">
        <f>IF(AO169="","",AW167+AO169)</f>
        <v/>
      </c>
      <c r="AX169" s="157"/>
      <c r="AY169" s="140">
        <f>IF(L168="",10^30,SQRT(BA166)*(BA168^2)*(N(AN167)+N(AN169)+N(AO167)+N(AV167))/(100000*L168*M166))</f>
        <v>1E+30</v>
      </c>
      <c r="AZ169" s="141"/>
      <c r="BA169" s="114">
        <f>IF(AND(F168="",SUM(S166:S169)&lt;&gt;0),BA165,F168)</f>
        <v>0</v>
      </c>
      <c r="BB169" s="115">
        <f>IF(AND(BA166=3,S169&lt;&gt;""),1,0)</f>
        <v>0</v>
      </c>
      <c r="BC169" s="52"/>
      <c r="BD169" s="52"/>
      <c r="BH169" s="162"/>
      <c r="BI169" s="162"/>
      <c r="BJ169" s="4"/>
      <c r="BK169" s="4"/>
    </row>
    <row r="170" spans="1:63" ht="15" customHeight="1" x14ac:dyDescent="0.15">
      <c r="A170" s="159"/>
      <c r="B170" s="159"/>
      <c r="C170" s="245" t="str">
        <f>IF(BH170=1,"●","・")</f>
        <v>・</v>
      </c>
      <c r="D170" s="425"/>
      <c r="E170" s="447"/>
      <c r="F170" s="427"/>
      <c r="G170" s="240" t="str">
        <f>IF(F170="","","φ")</f>
        <v/>
      </c>
      <c r="H170" s="428"/>
      <c r="I170" s="240" t="str">
        <f>IF(H170="","","W")</f>
        <v/>
      </c>
      <c r="J170" s="428"/>
      <c r="K170" s="246" t="str">
        <f>IF(J170="","","V")</f>
        <v/>
      </c>
      <c r="L170" s="429"/>
      <c r="M170" s="430"/>
      <c r="N170" s="431"/>
      <c r="O170" s="164"/>
      <c r="P170" s="194"/>
      <c r="Q170" s="165"/>
      <c r="R170" s="166"/>
      <c r="S170" s="167" t="str">
        <f>IF(R170="","",IF(Q170="",P170/R170,P170/(Q170*R170)))</f>
        <v/>
      </c>
      <c r="T170" s="168"/>
      <c r="U170" s="169" t="str">
        <f>IF(OR(BA172="",S170=""),"",S170*1000*T170/(SQRT(BA170)*BA172))</f>
        <v/>
      </c>
      <c r="V170" s="236" t="str">
        <f>IF(AND(N(U170)=0,N(U171)=0,N(U172)=0,N(U173)=0),"",BA172/(SUM(U170:U173)))</f>
        <v/>
      </c>
      <c r="W170" s="220"/>
      <c r="X170" s="222"/>
      <c r="Y170" s="223"/>
      <c r="Z170" s="224"/>
      <c r="AA170" s="228"/>
      <c r="AB170" s="230"/>
      <c r="AC170" s="223"/>
      <c r="AD170" s="224"/>
      <c r="AE170" s="232"/>
      <c r="AF170" s="104" t="str">
        <f>IF(OR(AND(AF166="",N(BA168)=0,BA172&lt;&gt;0),D170&lt;&gt;""),AX172/AQ171,"")</f>
        <v/>
      </c>
      <c r="AG170" s="234" t="str">
        <f>IF(BA172=0,"",IF(AD172="",AX170,IF(AND(D170&lt;&gt;"",AU170=""),AX172*SQRT(AP172^2+AP173^2)/SQRT(AS170^2+AS171^2)/AQ171,AX170*SQRT(AP172^2+AP173^2)/SQRT(AS170^2+AS171^2))))</f>
        <v/>
      </c>
      <c r="AH170" s="235"/>
      <c r="AI170" s="105" t="str">
        <f>IF(AG170="","",IF(N(U170)&lt;0,-AX170*AQ171/SQRT(AS170^2+AS171^2),AX170*AQ171/SQRT(AS170^2+AS171^2)))</f>
        <v/>
      </c>
      <c r="AJ170" s="201"/>
      <c r="AK170" s="202"/>
      <c r="AL170" s="106"/>
      <c r="AM170" s="59"/>
      <c r="AN170" s="107" t="b">
        <f>IF(BA170="","",IF(AND(BA170=1,F172=50,L170="油入自冷"),VLOOKUP(L172,変１,2,FALSE),IF(AND(BA170=1,F172=50,L170="モ－ルド絶縁"),VLOOKUP(L172,変１,7,FALSE),IF(AND(BA170=1,F172=60,L170="油入自冷"),VLOOKUP(L172,変１,12,FALSE),IF(AND(BA170=1,F172=60,L170="モ－ルド絶縁"),VLOOKUP(L172,変１,17,FALSE),FALSE)))))</f>
        <v>0</v>
      </c>
      <c r="AO170" s="107">
        <f>IF(ISNA(VLOOKUP(L172,変ＵＳＥＲ,2,FALSE)),0,VLOOKUP(L172,変ＵＳＥＲ,2,FALSE))</f>
        <v>0</v>
      </c>
      <c r="AP170" s="108">
        <f>IF(N170="",0,N170*1000/BA172^2/SQRT(BA170))</f>
        <v>0</v>
      </c>
      <c r="AQ170" s="107" t="b">
        <f>IF(BA170=1,2,IF(BA170=3,SQRT(3),FALSE))</f>
        <v>0</v>
      </c>
      <c r="AR170" s="109" t="str">
        <f>IF(X170="","",IF(X170="600V IV",VLOOKUP(X172,ＩＶ,2,FALSE),IF(X170="600V CV-T",VLOOKUP(X172,ＣＶＴ,2,FALSE),IF(OR(X170="600V CV-1C",X170="600V CV-2C",X170="600V CV-3C",X170="600V CV-4C"),VLOOKUP(X172,ＣＶ２３Ｃ,2,FALSE),VLOOKUP(X172,ＣＵＳＥＲ,2,FALSE)))))</f>
        <v/>
      </c>
      <c r="AS170" s="107" t="str">
        <f>IF(AB173="",AP172,AP172+(AB173/1000))</f>
        <v/>
      </c>
      <c r="AT170" s="110" t="str">
        <f>IF(AU172="",AT172,AU172)</f>
        <v/>
      </c>
      <c r="AU170" s="110" t="str">
        <f>IF(D170="","",IF(AND(D230="",D234&lt;&gt;"",AV173=AV237),AT234,IF(AND(D230="",D234="",D238&lt;&gt;"",AV233=AV241),AT238,IF(AND(D230="",D234="",D238="",D242&lt;&gt;"",AV237=AV245),AT242,IF(AND(D230="",D234="",D238="",D242="",D246&lt;&gt;"",AV241=AV249),AT246,IF(AND(D230="",D234="",D238="",D242="",D246="",D250&lt;&gt;"",AV245=AV253),AT250,IF(AND(D230="",D234="",D238="",D242="",D246="",D250="",D254&lt;&gt;"",AV249=AV257),AT254,"")))))))</f>
        <v/>
      </c>
      <c r="AV170" s="110" t="str">
        <f>IF(L170="発電機",IF(ISNA(VLOOKUP(L172,ＡＣＧ,2,FALSE)),0,VLOOKUP(L172,ＡＣＧ,2,FALSE)),"")</f>
        <v/>
      </c>
      <c r="AW170" s="111" t="str">
        <f>IF(AT170="","",AT170/((AT170*AP170)^2+(AT171*AP170-1)^2))</f>
        <v/>
      </c>
      <c r="AX170" s="112" t="str">
        <f>IF(BA172=0,"",IF(OR(AX166="",AF170&lt;&gt;""),AF170*SQRT(AS172^2+AS173^2)/SQRT(AT172^2+AT173^2),AX166*SQRT(AS172^2+AS173^2)/SQRT(AT172^2+AT173^2)))</f>
        <v/>
      </c>
      <c r="AY170" s="113">
        <f>IF(N(AY172)=10^30,10^30,IF(N(AY232)=10^30,(N(AY172)*(N(AY232)^2+N(AY233)^2)+N(AY232)*(N(AY172)^2+N(AY173)^2))/((N(AY172)+N(AY232))^2+(N(AY173)+N(AY233))^2),(N(AY172)*(N(AY230)^2+N(AY231)^2)+N(AY230)*(N(AY172)^2+N(AY173)^2))/((N(AY172)+N(AY230))^2+(N(AY173)+N(AY231))^2)))</f>
        <v>1E+30</v>
      </c>
      <c r="AZ170" s="52"/>
      <c r="BA170" s="114">
        <f>IF(AND(F170="",SUM(S170:S173)&lt;&gt;0),BA166,F170)</f>
        <v>0</v>
      </c>
      <c r="BB170" s="115">
        <f>IF(AND(BA170=3,S170&lt;&gt;""),1,0)</f>
        <v>0</v>
      </c>
      <c r="BC170" s="52"/>
      <c r="BD170" s="52"/>
      <c r="BH170" s="162">
        <f>IF(OR(E170="",F173="",AND(OR(P170="",Q170="",R170="",T170=""),OR(P171="",Q171="",R171="",T171=""),OR(P172="",Q172="",R172="",T172=""),OR(P173="",Q173="",R173="",T173="")),AND(OR(X170="",X172="",Y172="",Z172=""),OR(AB170="",AB172="",AC172="",AD172=""))),0,1)</f>
        <v>0</v>
      </c>
      <c r="BI170" s="162">
        <f>BH170+BI166</f>
        <v>4</v>
      </c>
      <c r="BJ170" s="4"/>
      <c r="BK170" s="4"/>
    </row>
    <row r="171" spans="1:63" ht="15" customHeight="1" x14ac:dyDescent="0.15">
      <c r="A171" s="159"/>
      <c r="B171" s="159"/>
      <c r="C171" s="245"/>
      <c r="D171" s="432"/>
      <c r="E171" s="448"/>
      <c r="F171" s="434"/>
      <c r="G171" s="241"/>
      <c r="H171" s="435"/>
      <c r="I171" s="241"/>
      <c r="J171" s="435"/>
      <c r="K171" s="247"/>
      <c r="L171" s="436"/>
      <c r="M171" s="170" t="str">
        <f>IF(L170="発電機",SQRT(AV170^2+AV171^2),IF(L172="","",IF(OR(L170="油入自冷",L170="モ－ルド絶縁"),IF(BA170=1,SQRT(AN170^2+AN171^2),IF(BA170=3,SQRT(AN172^2+AN173^2))),SQRT(AO170^2+AO171^2))))</f>
        <v/>
      </c>
      <c r="N171" s="437"/>
      <c r="O171" s="171"/>
      <c r="P171" s="195"/>
      <c r="Q171" s="172"/>
      <c r="R171" s="173"/>
      <c r="S171" s="174" t="str">
        <f t="shared" si="7"/>
        <v/>
      </c>
      <c r="T171" s="175"/>
      <c r="U171" s="176" t="str">
        <f>IF(OR(BA172="",S171=""),"",S171*1000*T171/(SQRT(BA170)*BA172))</f>
        <v/>
      </c>
      <c r="V171" s="237"/>
      <c r="W171" s="221"/>
      <c r="X171" s="225"/>
      <c r="Y171" s="226"/>
      <c r="Z171" s="227"/>
      <c r="AA171" s="229"/>
      <c r="AB171" s="231"/>
      <c r="AC171" s="226"/>
      <c r="AD171" s="227"/>
      <c r="AE171" s="233"/>
      <c r="AF171" s="124" t="str">
        <f>IF(OR(AF170="",AG166&lt;&gt;""),"",AF170*AQ171/SQRT(AT170^2+AT171^2))</f>
        <v/>
      </c>
      <c r="AG171" s="205" t="str">
        <f>IF(AG170="","",100*AG170*AQ171/BA172)</f>
        <v/>
      </c>
      <c r="AH171" s="206"/>
      <c r="AI171" s="207" t="str">
        <f>IF(BA172=0,"",IF(AI166="",AX172/SQRT(AT170^2+AT171^2),IF(AI174="","",IF(AT170&lt;0,-AX170*AQ167/SQRT(AT170^2+AT171^2),AX170*AQ167/SQRT(AT170^2+AT171^2)))))</f>
        <v/>
      </c>
      <c r="AJ171" s="203"/>
      <c r="AK171" s="204"/>
      <c r="AL171" s="125"/>
      <c r="AM171" s="59"/>
      <c r="AN171" s="107" t="b">
        <f>IF(BA170="","",IF(AND(BA170=1,F172=50,L170="油入自冷"),VLOOKUP(L172,変１,3,FALSE),IF(AND(BA170=1,F172=50,L170="モ－ルド絶縁"),VLOOKUP(L172,変１,8,FALSE),IF(AND(BA170=1,F172=60,L170="油入自冷"),VLOOKUP(L172,変１,13,FALSE),IF(AND(BA170=1,F172=60,L170="モ－ルド絶縁"),VLOOKUP(L172,変１,18,FALSE),FALSE)))))</f>
        <v>0</v>
      </c>
      <c r="AO171" s="107">
        <f>IF(ISNA(VLOOKUP(L172,変ＵＳＥＲ,3,FALSE)),0,VLOOKUP(L172,変ＵＳＥＲ,3,FALSE)*BA173/50)</f>
        <v>0</v>
      </c>
      <c r="AP171" s="108">
        <f>IF(W170="",0,W170*1000/BA172^2/SQRT(BA170))</f>
        <v>0</v>
      </c>
      <c r="AQ171" s="107">
        <f>IF(AND(BA170=1,BA171=2),1,IF(AND(BA170=3,BA171=3),1,IF(AND(BA170=1,BA171=3),2,IF(AND(BA170=3,BA171=4)*OR(BB170=1,BB171=1,BB172=1,BB173=1),1,SQRT(3)))))</f>
        <v>1.7320508075688772</v>
      </c>
      <c r="AR171" s="109" t="str">
        <f>IF(X170="","",IF(X170="600V IV",VLOOKUP(X172,ＩＶ,3,FALSE),IF(X170="600V CV-T",VLOOKUP(X172,ＣＶＴ,3,FALSE),IF(OR(X170="600V CV-1C",X170="600V CV-2C",X170="600V CV-3C",X170="600V CV-4C"),VLOOKUP(X172,ＣＶ２３Ｃ,3,FALSE),VLOOKUP(X172,ＣＵＳＥＲ,3,FALSE)))))</f>
        <v/>
      </c>
      <c r="AS171" s="107" t="str">
        <f>IF(AD173="",AP173,AP173+(AD173/1000))</f>
        <v/>
      </c>
      <c r="AT171" s="110" t="str">
        <f>IF(AU173="",AT173,AU173)</f>
        <v/>
      </c>
      <c r="AU171" s="110" t="str">
        <f>IF(D170="","",IF(AND(D230="",D234&lt;&gt;"",AV173=AV237),AT235,IF(AND(D230="",D234="",D238&lt;&gt;"",AV233=AV241),AT239,IF(AND(D230="",D234="",D238="",D242&lt;&gt;"",AV237=AV245),AT243,IF(AND(D230="",D234="",D238="",D242="",D246&lt;&gt;"",AV241=AV249),AT247,IF(AND(D230="",D234="",D238="",D242="",D246="",D250&lt;&gt;"",AV245=AV253),AT251,IF(AND(D230="",D234="",D238="",D242="",D246="",D250="",D254&lt;&gt;"",AV249=AV257),AT255,"")))))))</f>
        <v/>
      </c>
      <c r="AV171" s="109" t="str">
        <f>IF(L170="発電機",IF(ISNA(VLOOKUP(L172,ＡＣＧ,3,FALSE)),0,VLOOKUP(L172,ＡＣＧ,3,FALSE)*BA173/50),"")</f>
        <v/>
      </c>
      <c r="AW171" s="111" t="str">
        <f>IF(AT171="","",(AT171-AP170*(AT170^2+AT171^2))/((AT170*AP170)^2+(AP170*AT171-1)^2))</f>
        <v/>
      </c>
      <c r="AX171" s="112"/>
      <c r="AY171" s="113">
        <f>IF(N(AY173)=10^30,10^30,IF(N(AY233)=10^30,(N(AY173)*(N(AY232)^2+N(AY233)^2)+N(AY233)*(N(AY172)^2+N(AY173)^2))/((N(AY172)+N(AY232))^2+(N(AY173)+N(AY233))^2),(N(AY173)*(N(AY230)^2+N(AY231)^2)+N(AY231)*(N(AY172)^2+N(AY173)^2))/((N(AY172)+N(AY230))^2+(N(AY173)+N(AY231))^2)))</f>
        <v>1E+30</v>
      </c>
      <c r="AZ171" s="52"/>
      <c r="BA171" s="114">
        <f>IF(AND(H170="",SUM(S170:S173)&lt;&gt;0),BA167,H170)</f>
        <v>0</v>
      </c>
      <c r="BB171" s="115">
        <f>IF(AND(BA170=3,S171&lt;&gt;""),1,0)</f>
        <v>0</v>
      </c>
      <c r="BC171" s="52"/>
      <c r="BD171" s="52"/>
      <c r="BH171" s="162"/>
      <c r="BI171" s="162"/>
      <c r="BJ171" s="4"/>
      <c r="BK171" s="4"/>
    </row>
    <row r="172" spans="1:63" ht="15" customHeight="1" x14ac:dyDescent="0.15">
      <c r="A172" s="159"/>
      <c r="B172" s="159"/>
      <c r="C172" s="245"/>
      <c r="D172" s="432"/>
      <c r="E172" s="448"/>
      <c r="F172" s="438"/>
      <c r="G172" s="438"/>
      <c r="H172" s="438"/>
      <c r="I172" s="438"/>
      <c r="J172" s="438"/>
      <c r="K172" s="439"/>
      <c r="L172" s="440"/>
      <c r="M172" s="441"/>
      <c r="N172" s="437"/>
      <c r="O172" s="171"/>
      <c r="P172" s="196"/>
      <c r="Q172" s="177"/>
      <c r="R172" s="173"/>
      <c r="S172" s="174" t="str">
        <f t="shared" si="7"/>
        <v/>
      </c>
      <c r="T172" s="175"/>
      <c r="U172" s="178" t="str">
        <f>IF(OR(BA172="",S172=""),"",S172*1000*T172/(SQRT(BA170)*BA172))</f>
        <v/>
      </c>
      <c r="V172" s="179" t="str">
        <f>IF(AND(N(U170)=0,N(U171)=0,N(U172)=0,N(U173)=0),"",V170*(P170*R170*T170+P171*R171*T171+P172*R172*T172+P173*R173*T173)/(P170*T170+P171*T171+P172*T172+P173*T173))</f>
        <v/>
      </c>
      <c r="W172" s="209" t="str">
        <f>IF(AND(N(AP172)=0,N(AP173)=0,N(AP171)=0),"",IF(AP173&gt;=0,COS(ATAN(AP173/AP172)),-COS(ATAN(AP173/AP172))))</f>
        <v/>
      </c>
      <c r="X172" s="180"/>
      <c r="Y172" s="181"/>
      <c r="Z172" s="182"/>
      <c r="AA172" s="183"/>
      <c r="AB172" s="184"/>
      <c r="AC172" s="181"/>
      <c r="AD172" s="182"/>
      <c r="AE172" s="185"/>
      <c r="AF172" s="136" t="str">
        <f>IF(OR(AF170="",AG166&lt;&gt;""),"",BA172/SQRT(AW172^2+AW173^2))</f>
        <v/>
      </c>
      <c r="AG172" s="205" t="str">
        <f>IF(AG170="","",100*((BA172/AQ171)-AG170)/(BA172/AQ171))</f>
        <v/>
      </c>
      <c r="AH172" s="206"/>
      <c r="AI172" s="208"/>
      <c r="AJ172" s="211"/>
      <c r="AK172" s="213"/>
      <c r="AL172" s="137"/>
      <c r="AM172" s="59"/>
      <c r="AN172" s="138" t="b">
        <f>IF(BA170="","",IF(AND(BA170=3,F172=50,L170="油入自冷"),VLOOKUP(L172,変３,2,FALSE),IF(AND(BA170=3,F172=50,L170="モ－ルド絶縁"),VLOOKUP(L172,変３,7,FALSE),IF(AND(BA170=3,F172=60,L170="油入自冷"),VLOOKUP(L172,変３,12,FALSE),IF(AND(BA170=3,F172=60,L170="モ－ルド絶縁"),VLOOKUP(L172,変３,17,FALSE),FALSE)))))</f>
        <v>0</v>
      </c>
      <c r="AO172" s="109" t="str">
        <f>IF(AND(L166="",N(AY170)&lt;10^29),AY170,"")</f>
        <v/>
      </c>
      <c r="AP172" s="139" t="str">
        <f>IF(V170="","",IF(AND(N(V172)=0,N(AP171)=0),"",AQ172/((AQ172*AP171)^2+(AP171*AQ173-1)^2)))</f>
        <v/>
      </c>
      <c r="AQ172" s="107">
        <f>IF(N(V172)=0,10^30,V172)</f>
        <v>1E+30</v>
      </c>
      <c r="AR172" s="109" t="str">
        <f>IF(AB170="","",IF(AB170="600V IV",VLOOKUP(AB172,ＩＶ,2,FALSE),IF(AB170="600V CV-T",VLOOKUP(AB172,ＣＶＴ,2,FALSE),IF(OR(AB170="600V CV-1C",AB170="600V CV-2C",AB170="600V CV-3C",AB170="600V CV-4C"),VLOOKUP(AB172,ＣＶ２３Ｃ,2,FALSE),VLOOKUP(AB172,ＣＵＳＥＲ,2,FALSE)))))</f>
        <v/>
      </c>
      <c r="AS172" s="107" t="str">
        <f>IF(OR(AND(AS230="",AS231=""),AND(D170="",D230&lt;&gt;"")),AS170,(AS170*(AT230^2+AT231^2)+AT230*(AS170^2+AS171^2))/((AS170+AT230)^2+(AS171+AT231)^2))</f>
        <v/>
      </c>
      <c r="AT172" s="110" t="str">
        <f>IF(X173="",AS172,N(AS172)+(X173/1000))</f>
        <v/>
      </c>
      <c r="AU172" s="110" t="str">
        <f>IF(AU170="","",(AT172*(AU170^2+AU171^2)+AU170*(AT172^2+AT173^2))/((AT172+AU170)^2+(AT173+AU171)^2))</f>
        <v/>
      </c>
      <c r="AV172" s="110">
        <f>IF(BA172=0,1,0)</f>
        <v>1</v>
      </c>
      <c r="AW172" s="111" t="str">
        <f>IF(AO172="","",AW170+AO172)</f>
        <v/>
      </c>
      <c r="AX172" s="112" t="str">
        <f>IF(AND(AX168="",AW172&lt;&gt;""),BA172*SQRT(AW170^2+AW171^2)/SQRT(AW172^2+AW173^2),IF(BA172&lt;&gt;0,AX168,""))</f>
        <v/>
      </c>
      <c r="AY172" s="140">
        <f>IF(L172="",10^30,SQRT(BA170)*(BA172^2)*(N(AN170)+N(AN172)+N(AO170)+N(AV170))/(100000*L172*M170))</f>
        <v>1E+30</v>
      </c>
      <c r="AZ172" s="141"/>
      <c r="BA172" s="114">
        <f>IF(AND(J170="",SUM(S170:S173)&lt;&gt;0),BA168,J170)</f>
        <v>0</v>
      </c>
      <c r="BB172" s="115">
        <f>IF(AND(BA170=3,S172&lt;&gt;""),1,0)</f>
        <v>0</v>
      </c>
      <c r="BC172" s="52"/>
      <c r="BD172" s="52"/>
      <c r="BH172" s="162"/>
      <c r="BI172" s="162"/>
      <c r="BJ172" s="4"/>
      <c r="BK172" s="4"/>
    </row>
    <row r="173" spans="1:63" ht="15" customHeight="1" x14ac:dyDescent="0.15">
      <c r="A173" s="159"/>
      <c r="B173" s="159"/>
      <c r="C173" s="245"/>
      <c r="D173" s="442"/>
      <c r="E173" s="449"/>
      <c r="F173" s="444"/>
      <c r="G173" s="444"/>
      <c r="H173" s="444"/>
      <c r="I173" s="444"/>
      <c r="J173" s="444"/>
      <c r="K173" s="445"/>
      <c r="L173" s="238" t="str">
        <f>IF(M170="","",L172*1000*M170/(SQRT(BA170)*BA172))</f>
        <v/>
      </c>
      <c r="M173" s="239"/>
      <c r="N173" s="446"/>
      <c r="O173" s="186"/>
      <c r="P173" s="197"/>
      <c r="Q173" s="187"/>
      <c r="R173" s="188"/>
      <c r="S173" s="189" t="str">
        <f t="shared" si="7"/>
        <v/>
      </c>
      <c r="T173" s="190"/>
      <c r="U173" s="191" t="str">
        <f>IF(OR(BA172="",S173=""),"",S173*1000*T173/(SQRT(BA170)*BA172))</f>
        <v/>
      </c>
      <c r="V173" s="192" t="str">
        <f>IF(AND(N(U170)=0,N(U171)=0,N(U172)=0,N(U173)=0),"",IF(V170&gt;=0,SQRT(ABS(V170^2-V172^2)),-SQRT(V170^2-V172^2)))</f>
        <v/>
      </c>
      <c r="W173" s="210"/>
      <c r="X173" s="215" t="str">
        <f>IF(Y172="","",AQ170*Z172*AR170*((1+0.00393*(F173-20))/1.2751)/Y172)</f>
        <v/>
      </c>
      <c r="Y173" s="216"/>
      <c r="Z173" s="217" t="str">
        <f>IF(Y172="","",(BA173/50)*AQ170*Z172*AR171/Y172)</f>
        <v/>
      </c>
      <c r="AA173" s="218"/>
      <c r="AB173" s="219" t="str">
        <f>IF(AC172="","",AQ170*AD172*AR172*((1+0.00393*(F173-20))/1.2751)/AC172)</f>
        <v/>
      </c>
      <c r="AC173" s="216"/>
      <c r="AD173" s="217" t="str">
        <f>IF(AC172="","",(BA173/50)*AQ170*AD172*AR173/AC172)</f>
        <v/>
      </c>
      <c r="AE173" s="242"/>
      <c r="AF173" s="150" t="str">
        <f>IF(AND(AX170&lt;&gt;"",D170=""),AX170,"")</f>
        <v/>
      </c>
      <c r="AG173" s="243" t="str">
        <f>IF(AP172="","",AP172)</f>
        <v/>
      </c>
      <c r="AH173" s="244"/>
      <c r="AI173" s="151" t="str">
        <f>IF(AP173="","",AP173)</f>
        <v/>
      </c>
      <c r="AJ173" s="212"/>
      <c r="AK173" s="214"/>
      <c r="AL173" s="152"/>
      <c r="AM173" s="59"/>
      <c r="AN173" s="153" t="b">
        <f>IF(BA170="","",IF(AND(BA170=3,F172=50,L170="油入自冷"),VLOOKUP(L172,変３,3,FALSE),IF(AND(BA170=3,F172=50,L170="モ－ルド絶縁"),VLOOKUP(L172,変３,8,FALSE),IF(AND(BA170=3,F172=60,L170="油入自冷"),VLOOKUP(L172,変３,13,FALSE),IF(AND(BA170=3,F172=60,L170="モ－ルド絶縁"),VLOOKUP(L172,変３,18,FALSE),FALSE)))))</f>
        <v>0</v>
      </c>
      <c r="AO173" s="153" t="str">
        <f>IF(AND(L166="",N(AY171)&lt;10^29),AY171,"")</f>
        <v/>
      </c>
      <c r="AP173" s="154" t="str">
        <f>IF(V170="","",IF(AND(N(V173)=0,N(AP171)=0),0,(AQ173-AP171*(AQ172^2+AQ173^2))/((AQ172*AP171)^2+(AP171*AQ173-1)^2)))</f>
        <v/>
      </c>
      <c r="AQ173" s="155">
        <f>IF(N(V173)=0,10^30,V173)</f>
        <v>1E+30</v>
      </c>
      <c r="AR173" s="153" t="str">
        <f>IF(AB170="","",IF(AB170="600V IV",VLOOKUP(AB172,ＩＶ,3,FALSE),IF(AB170="600V CV-T",VLOOKUP(AB172,ＣＶＴ,3,FALSE),IF(OR(AB170="600V CV-1C",AB170="600V CV-2C",AB170="600V CV-3C",AB170="600V CV-4C"),VLOOKUP(AB172,ＣＶ２３Ｃ,3,FALSE),VLOOKUP(AB172,ＣＵＳＥＲ,3,FALSE)))))</f>
        <v/>
      </c>
      <c r="AS173" s="155" t="str">
        <f>IF(OR(AND(AS230="",AS231=""),AND(D170="",D230&lt;&gt;"")),AS171,(AS171*(AT230^2+AT231^2)+AT231*(AS170^2+AS171^2))/((AS170+AT230)^2+(AS171+AT231)^2))</f>
        <v/>
      </c>
      <c r="AT173" s="156" t="str">
        <f>IF(Z173="",AS173,N(AS173)+(Z173/1000))</f>
        <v/>
      </c>
      <c r="AU173" s="156" t="str">
        <f>IF(AU171="","",(AT173*(AU170^2+AU171^2)+AU171*(AT172^2+AT173^2))/((AT172+AU170)^2+(AT173+AU171)^2))</f>
        <v/>
      </c>
      <c r="AV173" s="156">
        <f>AV169+AV172</f>
        <v>21</v>
      </c>
      <c r="AW173" s="155" t="str">
        <f>IF(AO173="","",AW171+AO173)</f>
        <v/>
      </c>
      <c r="AX173" s="157"/>
      <c r="AY173" s="140">
        <f>IF(L172="",10^30,SQRT(BA170)*(BA172^2)*(N(AN171)+N(AN173)+N(AO171)+N(AV171))/(100000*L172*M170))</f>
        <v>1E+30</v>
      </c>
      <c r="AZ173" s="141"/>
      <c r="BA173" s="114">
        <f>IF(AND(F172="",SUM(S170:S173)&lt;&gt;0),BA169,F172)</f>
        <v>0</v>
      </c>
      <c r="BB173" s="115">
        <f>IF(AND(BA170=3,S173&lt;&gt;""),1,0)</f>
        <v>0</v>
      </c>
      <c r="BC173" s="52"/>
      <c r="BD173" s="52"/>
      <c r="BH173" s="162"/>
      <c r="BI173" s="162"/>
      <c r="BJ173" s="4"/>
      <c r="BK173" s="4"/>
    </row>
    <row r="174" spans="1:63" ht="15" customHeight="1" x14ac:dyDescent="0.15">
      <c r="A174" s="159"/>
      <c r="B174" s="159"/>
      <c r="C174" s="245" t="str">
        <f>IF(BH174=1,"●","・")</f>
        <v>・</v>
      </c>
      <c r="D174" s="425"/>
      <c r="E174" s="447"/>
      <c r="F174" s="427"/>
      <c r="G174" s="240" t="str">
        <f>IF(F174="","","φ")</f>
        <v/>
      </c>
      <c r="H174" s="428"/>
      <c r="I174" s="240" t="str">
        <f>IF(H174="","","W")</f>
        <v/>
      </c>
      <c r="J174" s="428"/>
      <c r="K174" s="246" t="str">
        <f>IF(J174="","","V")</f>
        <v/>
      </c>
      <c r="L174" s="429"/>
      <c r="M174" s="430"/>
      <c r="N174" s="431"/>
      <c r="O174" s="164"/>
      <c r="P174" s="194"/>
      <c r="Q174" s="165"/>
      <c r="R174" s="166"/>
      <c r="S174" s="167" t="str">
        <f>IF(R174="","",IF(Q174="",P174/R174,P174/(Q174*R174)))</f>
        <v/>
      </c>
      <c r="T174" s="168"/>
      <c r="U174" s="169" t="str">
        <f>IF(OR(BA176="",S174=""),"",S174*1000*T174/(SQRT(BA174)*BA176))</f>
        <v/>
      </c>
      <c r="V174" s="236" t="str">
        <f>IF(AND(N(U174)=0,N(U175)=0,N(U176)=0,N(U177)=0),"",BA176/(SUM(U174:U177)))</f>
        <v/>
      </c>
      <c r="W174" s="220"/>
      <c r="X174" s="222"/>
      <c r="Y174" s="223"/>
      <c r="Z174" s="224"/>
      <c r="AA174" s="228"/>
      <c r="AB174" s="230"/>
      <c r="AC174" s="223"/>
      <c r="AD174" s="224"/>
      <c r="AE174" s="232"/>
      <c r="AF174" s="104" t="str">
        <f>IF(OR(AND(AF170="",N(BA172)=0,BA176&lt;&gt;0),D174&lt;&gt;""),AX176/AQ175,"")</f>
        <v/>
      </c>
      <c r="AG174" s="234" t="str">
        <f>IF(BA176=0,"",IF(AD176="",AX174,IF(AND(D174&lt;&gt;"",AU174=""),AX176*SQRT(AP176^2+AP177^2)/SQRT(AS174^2+AS175^2)/AQ175,AX174*SQRT(AP176^2+AP177^2)/SQRT(AS174^2+AS175^2))))</f>
        <v/>
      </c>
      <c r="AH174" s="235"/>
      <c r="AI174" s="105" t="str">
        <f>IF(AG174="","",IF(N(U174)&lt;0,-AX174*AQ175/SQRT(AS174^2+AS175^2),AX174*AQ175/SQRT(AS174^2+AS175^2)))</f>
        <v/>
      </c>
      <c r="AJ174" s="201"/>
      <c r="AK174" s="202"/>
      <c r="AL174" s="106"/>
      <c r="AM174" s="59"/>
      <c r="AN174" s="107" t="b">
        <f>IF(BA174="","",IF(AND(BA174=1,F176=50,L174="油入自冷"),VLOOKUP(L176,変１,2,FALSE),IF(AND(BA174=1,F176=50,L174="モ－ルド絶縁"),VLOOKUP(L176,変１,7,FALSE),IF(AND(BA174=1,F176=60,L174="油入自冷"),VLOOKUP(L176,変１,12,FALSE),IF(AND(BA174=1,F176=60,L174="モ－ルド絶縁"),VLOOKUP(L176,変１,17,FALSE),FALSE)))))</f>
        <v>0</v>
      </c>
      <c r="AO174" s="107">
        <f>IF(ISNA(VLOOKUP(L176,変ＵＳＥＲ,2,FALSE)),0,VLOOKUP(L176,変ＵＳＥＲ,2,FALSE))</f>
        <v>0</v>
      </c>
      <c r="AP174" s="108">
        <f>IF(N174="",0,N174*1000/BA176^2/SQRT(BA174))</f>
        <v>0</v>
      </c>
      <c r="AQ174" s="107" t="b">
        <f>IF(BA174=1,2,IF(BA174=3,SQRT(3),FALSE))</f>
        <v>0</v>
      </c>
      <c r="AR174" s="109" t="str">
        <f>IF(X174="","",IF(X174="600V IV",VLOOKUP(X176,ＩＶ,2,FALSE),IF(X174="600V CV-T",VLOOKUP(X176,ＣＶＴ,2,FALSE),IF(OR(X174="600V CV-1C",X174="600V CV-2C",X174="600V CV-3C",X174="600V CV-4C"),VLOOKUP(X176,ＣＶ２３Ｃ,2,FALSE),VLOOKUP(X176,ＣＵＳＥＲ,2,FALSE)))))</f>
        <v/>
      </c>
      <c r="AS174" s="107" t="str">
        <f>IF(AB177="",AP176,AP176+(AB177/1000))</f>
        <v/>
      </c>
      <c r="AT174" s="110" t="str">
        <f>IF(AU176="",AT176,AU176)</f>
        <v/>
      </c>
      <c r="AU174" s="110" t="str">
        <f>IF(D174="","",IF(AND(D234="",D238&lt;&gt;"",AV177=AV241),AT238,IF(AND(D234="",D238="",D242&lt;&gt;"",AV237=AV245),AT242,IF(AND(D234="",D238="",D242="",D246&lt;&gt;"",AV241=AV249),AT246,IF(AND(D234="",D238="",D242="",D246="",D250&lt;&gt;"",AV245=AV253),AT250,IF(AND(D234="",D238="",D242="",D246="",D250="",D254&lt;&gt;"",AV249=AV257),AT254,IF(AND(D234="",D238="",D242="",D246="",D250="",D254="",D258&lt;&gt;"",AV253=AV261),AT258,"")))))))</f>
        <v/>
      </c>
      <c r="AV174" s="110" t="str">
        <f>IF(L174="発電機",IF(ISNA(VLOOKUP(L176,ＡＣＧ,2,FALSE)),0,VLOOKUP(L176,ＡＣＧ,2,FALSE)),"")</f>
        <v/>
      </c>
      <c r="AW174" s="111" t="str">
        <f>IF(AT174="","",AT174/((AT174*AP174)^2+(AT175*AP174-1)^2))</f>
        <v/>
      </c>
      <c r="AX174" s="112" t="str">
        <f>IF(BA176=0,"",IF(OR(AX170="",AF174&lt;&gt;""),AF174*SQRT(AS176^2+AS177^2)/SQRT(AT176^2+AT177^2),AX170*SQRT(AS176^2+AS177^2)/SQRT(AT176^2+AT177^2)))</f>
        <v/>
      </c>
      <c r="AY174" s="113">
        <f>IF(N(AY176)=10^30,10^30,IF(N(AY236)=10^30,(N(AY176)*(N(AY236)^2+N(AY237)^2)+N(AY236)*(N(AY176)^2+N(AY177)^2))/((N(AY176)+N(AY236))^2+(N(AY177)+N(AY237))^2),(N(AY176)*(N(AY234)^2+N(AY235)^2)+N(AY234)*(N(AY176)^2+N(AY177)^2))/((N(AY176)+N(AY234))^2+(N(AY177)+N(AY235))^2)))</f>
        <v>1E+30</v>
      </c>
      <c r="AZ174" s="52"/>
      <c r="BA174" s="114">
        <f>IF(AND(F174="",SUM(S174:S177)&lt;&gt;0),BA170,F174)</f>
        <v>0</v>
      </c>
      <c r="BB174" s="115">
        <f>IF(AND(BA174=3,S174&lt;&gt;""),1,0)</f>
        <v>0</v>
      </c>
      <c r="BC174" s="52"/>
      <c r="BD174" s="52"/>
      <c r="BH174" s="162">
        <f>IF(OR(E174="",F177="",AND(OR(P174="",Q174="",R174="",T174=""),OR(P175="",Q175="",R175="",T175=""),OR(P176="",Q176="",R176="",T176=""),OR(P177="",Q177="",R177="",T177="")),AND(OR(X174="",X176="",Y176="",Z176=""),OR(AB174="",AB176="",AC176="",AD176=""))),0,1)</f>
        <v>0</v>
      </c>
      <c r="BI174" s="162">
        <f>BH174+BI170</f>
        <v>4</v>
      </c>
      <c r="BJ174" s="4"/>
      <c r="BK174" s="4"/>
    </row>
    <row r="175" spans="1:63" ht="15" customHeight="1" x14ac:dyDescent="0.15">
      <c r="A175" s="159"/>
      <c r="B175" s="159"/>
      <c r="C175" s="245"/>
      <c r="D175" s="432"/>
      <c r="E175" s="448"/>
      <c r="F175" s="434"/>
      <c r="G175" s="241"/>
      <c r="H175" s="435"/>
      <c r="I175" s="241"/>
      <c r="J175" s="435"/>
      <c r="K175" s="247"/>
      <c r="L175" s="436"/>
      <c r="M175" s="170" t="str">
        <f>IF(L174="発電機",SQRT(AV174^2+AV175^2),IF(L176="","",IF(OR(L174="油入自冷",L174="モ－ルド絶縁"),IF(BA174=1,SQRT(AN174^2+AN175^2),IF(BA174=3,SQRT(AN176^2+AN177^2))),SQRT(AO174^2+AO175^2))))</f>
        <v/>
      </c>
      <c r="N175" s="437"/>
      <c r="O175" s="171"/>
      <c r="P175" s="195"/>
      <c r="Q175" s="172"/>
      <c r="R175" s="173"/>
      <c r="S175" s="174" t="str">
        <f t="shared" si="7"/>
        <v/>
      </c>
      <c r="T175" s="175"/>
      <c r="U175" s="176" t="str">
        <f>IF(OR(BA176="",S175=""),"",S175*1000*T175/(SQRT(BA174)*BA176))</f>
        <v/>
      </c>
      <c r="V175" s="237"/>
      <c r="W175" s="221"/>
      <c r="X175" s="225"/>
      <c r="Y175" s="226"/>
      <c r="Z175" s="227"/>
      <c r="AA175" s="229"/>
      <c r="AB175" s="231"/>
      <c r="AC175" s="226"/>
      <c r="AD175" s="227"/>
      <c r="AE175" s="233"/>
      <c r="AF175" s="124" t="str">
        <f>IF(OR(AF174="",AG170&lt;&gt;""),"",AF174*AQ175/SQRT(AT174^2+AT175^2))</f>
        <v/>
      </c>
      <c r="AG175" s="205" t="str">
        <f>IF(AG174="","",100*AG174*AQ175/BA176)</f>
        <v/>
      </c>
      <c r="AH175" s="206"/>
      <c r="AI175" s="207" t="str">
        <f>IF(BA176=0,"",IF(AI170="",AX176/SQRT(AT174^2+AT175^2),IF(AI178="","",IF(AT174&lt;0,-AX174*AQ171/SQRT(AT174^2+AT175^2),AX174*AQ171/SQRT(AT174^2+AT175^2)))))</f>
        <v/>
      </c>
      <c r="AJ175" s="203"/>
      <c r="AK175" s="204"/>
      <c r="AL175" s="125"/>
      <c r="AM175" s="59"/>
      <c r="AN175" s="107" t="b">
        <f>IF(BA174="","",IF(AND(BA174=1,F176=50,L174="油入自冷"),VLOOKUP(L176,変１,3,FALSE),IF(AND(BA174=1,F176=50,L174="モ－ルド絶縁"),VLOOKUP(L176,変１,8,FALSE),IF(AND(BA174=1,F176=60,L174="油入自冷"),VLOOKUP(L176,変１,13,FALSE),IF(AND(BA174=1,F176=60,L174="モ－ルド絶縁"),VLOOKUP(L176,変１,18,FALSE),FALSE)))))</f>
        <v>0</v>
      </c>
      <c r="AO175" s="107">
        <f>IF(ISNA(VLOOKUP(L176,変ＵＳＥＲ,3,FALSE)),0,VLOOKUP(L176,変ＵＳＥＲ,3,FALSE)*BA177/50)</f>
        <v>0</v>
      </c>
      <c r="AP175" s="108">
        <f>IF(W174="",0,W174*1000/BA176^2/SQRT(BA174))</f>
        <v>0</v>
      </c>
      <c r="AQ175" s="107">
        <f>IF(AND(BA174=1,BA175=2),1,IF(AND(BA174=3,BA175=3),1,IF(AND(BA174=1,BA175=3),2,IF(AND(BA174=3,BA175=4)*OR(BB174=1,BB175=1,BB176=1,BB177=1),1,SQRT(3)))))</f>
        <v>1.7320508075688772</v>
      </c>
      <c r="AR175" s="109" t="str">
        <f>IF(X174="","",IF(X174="600V IV",VLOOKUP(X176,ＩＶ,3,FALSE),IF(X174="600V CV-T",VLOOKUP(X176,ＣＶＴ,3,FALSE),IF(OR(X174="600V CV-1C",X174="600V CV-2C",X174="600V CV-3C",X174="600V CV-4C"),VLOOKUP(X176,ＣＶ２３Ｃ,3,FALSE),VLOOKUP(X176,ＣＵＳＥＲ,3,FALSE)))))</f>
        <v/>
      </c>
      <c r="AS175" s="107" t="str">
        <f>IF(AD177="",AP177,AP177+(AD177/1000))</f>
        <v/>
      </c>
      <c r="AT175" s="110" t="str">
        <f>IF(AU177="",AT177,AU177)</f>
        <v/>
      </c>
      <c r="AU175" s="110" t="str">
        <f>IF(D174="","",IF(AND(D234="",D238&lt;&gt;"",AV177=AV241),AT239,IF(AND(D234="",D238="",D242&lt;&gt;"",AV237=AV245),AT243,IF(AND(D234="",D238="",D242="",D246&lt;&gt;"",AV241=AV249),AT247,IF(AND(D234="",D238="",D242="",D246="",D250&lt;&gt;"",AV245=AV253),AT251,IF(AND(D234="",D238="",D242="",D246="",D250="",D254&lt;&gt;"",AV249=AV257),AT255,IF(AND(D234="",D238="",D242="",D246="",D250="",D254="",D258&lt;&gt;"",AV253=AV261),AT259,"")))))))</f>
        <v/>
      </c>
      <c r="AV175" s="109" t="str">
        <f>IF(L174="発電機",IF(ISNA(VLOOKUP(L176,ＡＣＧ,3,FALSE)),0,VLOOKUP(L176,ＡＣＧ,3,FALSE)*BA177/50),"")</f>
        <v/>
      </c>
      <c r="AW175" s="111" t="str">
        <f>IF(AT175="","",(AT175-AP174*(AT174^2+AT175^2))/((AT174*AP174)^2+(AP174*AT175-1)^2))</f>
        <v/>
      </c>
      <c r="AX175" s="112"/>
      <c r="AY175" s="113">
        <f>IF(N(AY177)=10^30,10^30,IF(N(AY237)=10^30,(N(AY177)*(N(AY236)^2+N(AY237)^2)+N(AY237)*(N(AY176)^2+N(AY177)^2))/((N(AY176)+N(AY236))^2+(N(AY177)+N(AY237))^2),(N(AY177)*(N(AY234)^2+N(AY235)^2)+N(AY235)*(N(AY176)^2+N(AY177)^2))/((N(AY176)+N(AY234))^2+(N(AY177)+N(AY235))^2)))</f>
        <v>1E+30</v>
      </c>
      <c r="AZ175" s="52"/>
      <c r="BA175" s="114">
        <f>IF(AND(H174="",SUM(S174:S177)&lt;&gt;0),BA171,H174)</f>
        <v>0</v>
      </c>
      <c r="BB175" s="115">
        <f>IF(AND(BA174=3,S175&lt;&gt;""),1,0)</f>
        <v>0</v>
      </c>
      <c r="BC175" s="52"/>
      <c r="BD175" s="52"/>
      <c r="BH175" s="162"/>
      <c r="BI175" s="162"/>
      <c r="BJ175" s="4"/>
      <c r="BK175" s="4"/>
    </row>
    <row r="176" spans="1:63" ht="15" customHeight="1" x14ac:dyDescent="0.15">
      <c r="A176" s="159"/>
      <c r="B176" s="159"/>
      <c r="C176" s="245"/>
      <c r="D176" s="432"/>
      <c r="E176" s="448"/>
      <c r="F176" s="438"/>
      <c r="G176" s="438"/>
      <c r="H176" s="438"/>
      <c r="I176" s="438"/>
      <c r="J176" s="438"/>
      <c r="K176" s="439"/>
      <c r="L176" s="440"/>
      <c r="M176" s="441"/>
      <c r="N176" s="437"/>
      <c r="O176" s="171"/>
      <c r="P176" s="196"/>
      <c r="Q176" s="177"/>
      <c r="R176" s="173"/>
      <c r="S176" s="174" t="str">
        <f t="shared" si="7"/>
        <v/>
      </c>
      <c r="T176" s="175"/>
      <c r="U176" s="178" t="str">
        <f>IF(OR(BA176="",S176=""),"",S176*1000*T176/(SQRT(BA174)*BA176))</f>
        <v/>
      </c>
      <c r="V176" s="179" t="str">
        <f>IF(AND(N(U174)=0,N(U175)=0,N(U176)=0,N(U177)=0),"",V174*(P174*R174*T174+P175*R175*T175+P176*R176*T176+P177*R177*T177)/(P174*T174+P175*T175+P176*T176+P177*T177))</f>
        <v/>
      </c>
      <c r="W176" s="209" t="str">
        <f>IF(AND(N(AP176)=0,N(AP177)=0,N(AP175)=0),"",IF(AP177&gt;=0,COS(ATAN(AP177/AP176)),-COS(ATAN(AP177/AP176))))</f>
        <v/>
      </c>
      <c r="X176" s="180"/>
      <c r="Y176" s="181"/>
      <c r="Z176" s="182"/>
      <c r="AA176" s="183"/>
      <c r="AB176" s="184"/>
      <c r="AC176" s="181"/>
      <c r="AD176" s="182"/>
      <c r="AE176" s="185"/>
      <c r="AF176" s="136" t="str">
        <f>IF(OR(AF174="",AG170&lt;&gt;""),"",BA176/SQRT(AW176^2+AW177^2))</f>
        <v/>
      </c>
      <c r="AG176" s="205" t="str">
        <f>IF(AG174="","",100*((BA176/AQ175)-AG174)/(BA176/AQ175))</f>
        <v/>
      </c>
      <c r="AH176" s="206"/>
      <c r="AI176" s="208"/>
      <c r="AJ176" s="211"/>
      <c r="AK176" s="213"/>
      <c r="AL176" s="137"/>
      <c r="AM176" s="59"/>
      <c r="AN176" s="138" t="b">
        <f>IF(BA174="","",IF(AND(BA174=3,F176=50,L174="油入自冷"),VLOOKUP(L176,変３,2,FALSE),IF(AND(BA174=3,F176=50,L174="モ－ルド絶縁"),VLOOKUP(L176,変３,7,FALSE),IF(AND(BA174=3,F176=60,L174="油入自冷"),VLOOKUP(L176,変３,12,FALSE),IF(AND(BA174=3,F176=60,L174="モ－ルド絶縁"),VLOOKUP(L176,変３,17,FALSE),FALSE)))))</f>
        <v>0</v>
      </c>
      <c r="AO176" s="109" t="str">
        <f>IF(AND(L170="",N(AY174)&lt;10^29),AY174,"")</f>
        <v/>
      </c>
      <c r="AP176" s="139" t="str">
        <f>IF(V174="","",IF(AND(N(V176)=0,N(AP175)=0),"",AQ176/((AQ176*AP175)^2+(AP175*AQ177-1)^2)))</f>
        <v/>
      </c>
      <c r="AQ176" s="107">
        <f>IF(N(V176)=0,10^30,V176)</f>
        <v>1E+30</v>
      </c>
      <c r="AR176" s="109" t="str">
        <f>IF(AB174="","",IF(AB174="600V IV",VLOOKUP(AB176,ＩＶ,2,FALSE),IF(AB174="600V CV-T",VLOOKUP(AB176,ＣＶＴ,2,FALSE),IF(OR(AB174="600V CV-1C",AB174="600V CV-2C",AB174="600V CV-3C",AB174="600V CV-4C"),VLOOKUP(AB176,ＣＶ２３Ｃ,2,FALSE),VLOOKUP(AB176,ＣＵＳＥＲ,2,FALSE)))))</f>
        <v/>
      </c>
      <c r="AS176" s="107" t="str">
        <f>IF(OR(AND(AS234="",AS235=""),AND(D174="",D234&lt;&gt;"")),AS174,(AS174*(AT234^2+AT235^2)+AT234*(AS174^2+AS175^2))/((AS174+AT234)^2+(AS175+AT235)^2))</f>
        <v/>
      </c>
      <c r="AT176" s="110" t="str">
        <f>IF(X177="",AS176,N(AS176)+(X177/1000))</f>
        <v/>
      </c>
      <c r="AU176" s="110" t="str">
        <f>IF(AU174="","",(AT176*(AU174^2+AU175^2)+AU174*(AT176^2+AT177^2))/((AT176+AU174)^2+(AT177+AU175)^2))</f>
        <v/>
      </c>
      <c r="AV176" s="110">
        <f>IF(BA176=0,1,0)</f>
        <v>1</v>
      </c>
      <c r="AW176" s="111" t="str">
        <f>IF(AO176="","",AW174+AO176)</f>
        <v/>
      </c>
      <c r="AX176" s="112" t="str">
        <f>IF(AND(AX172="",AW176&lt;&gt;""),BA176*SQRT(AW174^2+AW175^2)/SQRT(AW176^2+AW177^2),IF(BA176&lt;&gt;0,AX172,""))</f>
        <v/>
      </c>
      <c r="AY176" s="140">
        <f>IF(L176="",10^30,SQRT(BA174)*(BA176^2)*(N(AN174)+N(AN176)+N(AO174)+N(AV174))/(100000*L176*M174))</f>
        <v>1E+30</v>
      </c>
      <c r="AZ176" s="141"/>
      <c r="BA176" s="114">
        <f>IF(AND(J174="",SUM(S174:S177)&lt;&gt;0),BA172,J174)</f>
        <v>0</v>
      </c>
      <c r="BB176" s="115">
        <f>IF(AND(BA174=3,S176&lt;&gt;""),1,0)</f>
        <v>0</v>
      </c>
      <c r="BC176" s="52"/>
      <c r="BD176" s="52"/>
      <c r="BH176" s="162"/>
      <c r="BI176" s="162"/>
      <c r="BJ176" s="4"/>
      <c r="BK176" s="4"/>
    </row>
    <row r="177" spans="1:63" ht="15" customHeight="1" x14ac:dyDescent="0.15">
      <c r="A177" s="159"/>
      <c r="B177" s="159"/>
      <c r="C177" s="245"/>
      <c r="D177" s="442"/>
      <c r="E177" s="449"/>
      <c r="F177" s="444"/>
      <c r="G177" s="444"/>
      <c r="H177" s="444"/>
      <c r="I177" s="444"/>
      <c r="J177" s="444"/>
      <c r="K177" s="445"/>
      <c r="L177" s="238" t="str">
        <f>IF(M174="","",L176*1000*M174/(SQRT(BA174)*BA176))</f>
        <v/>
      </c>
      <c r="M177" s="239"/>
      <c r="N177" s="446"/>
      <c r="O177" s="186"/>
      <c r="P177" s="197"/>
      <c r="Q177" s="187"/>
      <c r="R177" s="188"/>
      <c r="S177" s="189" t="str">
        <f t="shared" si="7"/>
        <v/>
      </c>
      <c r="T177" s="190"/>
      <c r="U177" s="191" t="str">
        <f>IF(OR(BA176="",S177=""),"",S177*1000*T177/(SQRT(BA174)*BA176))</f>
        <v/>
      </c>
      <c r="V177" s="192" t="str">
        <f>IF(AND(N(U174)=0,N(U175)=0,N(U176)=0,N(U177)=0),"",IF(V174&gt;=0,SQRT(ABS(V174^2-V176^2)),-SQRT(V174^2-V176^2)))</f>
        <v/>
      </c>
      <c r="W177" s="210"/>
      <c r="X177" s="215" t="str">
        <f>IF(Y176="","",AQ174*Z176*AR174*((1+0.00393*(F177-20))/1.2751)/Y176)</f>
        <v/>
      </c>
      <c r="Y177" s="216"/>
      <c r="Z177" s="217" t="str">
        <f>IF(Y176="","",(BA177/50)*AQ174*Z176*AR175/Y176)</f>
        <v/>
      </c>
      <c r="AA177" s="218"/>
      <c r="AB177" s="219" t="str">
        <f>IF(AC176="","",AQ174*AD176*AR176*((1+0.00393*(F177-20))/1.2751)/AC176)</f>
        <v/>
      </c>
      <c r="AC177" s="216"/>
      <c r="AD177" s="217" t="str">
        <f>IF(AC176="","",(BA177/50)*AQ174*AD176*AR177/AC176)</f>
        <v/>
      </c>
      <c r="AE177" s="242"/>
      <c r="AF177" s="150" t="str">
        <f>IF(AND(AX174&lt;&gt;"",D174=""),AX174,"")</f>
        <v/>
      </c>
      <c r="AG177" s="243" t="str">
        <f>IF(AP176="","",AP176)</f>
        <v/>
      </c>
      <c r="AH177" s="244"/>
      <c r="AI177" s="151" t="str">
        <f>IF(AP177="","",AP177)</f>
        <v/>
      </c>
      <c r="AJ177" s="212"/>
      <c r="AK177" s="214"/>
      <c r="AL177" s="152"/>
      <c r="AM177" s="59"/>
      <c r="AN177" s="153" t="b">
        <f>IF(BA174="","",IF(AND(BA174=3,F176=50,L174="油入自冷"),VLOOKUP(L176,変３,3,FALSE),IF(AND(BA174=3,F176=50,L174="モ－ルド絶縁"),VLOOKUP(L176,変３,8,FALSE),IF(AND(BA174=3,F176=60,L174="油入自冷"),VLOOKUP(L176,変３,13,FALSE),IF(AND(BA174=3,F176=60,L174="モ－ルド絶縁"),VLOOKUP(L176,変３,18,FALSE),FALSE)))))</f>
        <v>0</v>
      </c>
      <c r="AO177" s="153" t="str">
        <f>IF(AND(L170="",N(AY175)&lt;10^29),AY175,"")</f>
        <v/>
      </c>
      <c r="AP177" s="154" t="str">
        <f>IF(V174="","",IF(AND(N(V177)=0,N(AP175)=0),0,(AQ177-AP175*(AQ176^2+AQ177^2))/((AQ176*AP175)^2+(AP175*AQ177-1)^2)))</f>
        <v/>
      </c>
      <c r="AQ177" s="155">
        <f>IF(N(V177)=0,10^30,V177)</f>
        <v>1E+30</v>
      </c>
      <c r="AR177" s="153" t="str">
        <f>IF(AB174="","",IF(AB174="600V IV",VLOOKUP(AB176,ＩＶ,3,FALSE),IF(AB174="600V CV-T",VLOOKUP(AB176,ＣＶＴ,3,FALSE),IF(OR(AB174="600V CV-1C",AB174="600V CV-2C",AB174="600V CV-3C",AB174="600V CV-4C"),VLOOKUP(AB176,ＣＶ２３Ｃ,3,FALSE),VLOOKUP(AB176,ＣＵＳＥＲ,3,FALSE)))))</f>
        <v/>
      </c>
      <c r="AS177" s="155" t="str">
        <f>IF(OR(AND(AS234="",AS235=""),AND(D174="",D234&lt;&gt;"")),AS175,(AS175*(AT234^2+AT235^2)+AT235*(AS174^2+AS175^2))/((AS174+AT234)^2+(AS175+AT235)^2))</f>
        <v/>
      </c>
      <c r="AT177" s="156" t="str">
        <f>IF(Z177="",AS177,N(AS177)+(Z177/1000))</f>
        <v/>
      </c>
      <c r="AU177" s="156" t="str">
        <f>IF(AU175="","",(AT177*(AU174^2+AU175^2)+AU175*(AT176^2+AT177^2))/((AT176+AU174)^2+(AT177+AU175)^2))</f>
        <v/>
      </c>
      <c r="AV177" s="156">
        <f>AV173+AV176</f>
        <v>22</v>
      </c>
      <c r="AW177" s="155" t="str">
        <f>IF(AO177="","",AW175+AO177)</f>
        <v/>
      </c>
      <c r="AX177" s="157"/>
      <c r="AY177" s="140">
        <f>IF(L176="",10^30,SQRT(BA174)*(BA176^2)*(N(AN175)+N(AN177)+N(AO175)+N(AV175))/(100000*L176*M174))</f>
        <v>1E+30</v>
      </c>
      <c r="AZ177" s="141"/>
      <c r="BA177" s="114">
        <f>IF(AND(F176="",SUM(S174:S177)&lt;&gt;0),BA173,F176)</f>
        <v>0</v>
      </c>
      <c r="BB177" s="115">
        <f>IF(AND(BA174=3,S177&lt;&gt;""),1,0)</f>
        <v>0</v>
      </c>
      <c r="BC177" s="52"/>
      <c r="BD177" s="52"/>
      <c r="BH177" s="162"/>
      <c r="BI177" s="162"/>
      <c r="BJ177" s="4"/>
      <c r="BK177" s="4"/>
    </row>
    <row r="178" spans="1:63" ht="15" customHeight="1" x14ac:dyDescent="0.15">
      <c r="A178" s="159"/>
      <c r="B178" s="159"/>
      <c r="C178" s="245" t="str">
        <f>IF(BH178=1,"●","・")</f>
        <v>・</v>
      </c>
      <c r="D178" s="425"/>
      <c r="E178" s="447"/>
      <c r="F178" s="427"/>
      <c r="G178" s="240" t="str">
        <f>IF(F178="","","φ")</f>
        <v/>
      </c>
      <c r="H178" s="428"/>
      <c r="I178" s="240" t="str">
        <f>IF(H178="","","W")</f>
        <v/>
      </c>
      <c r="J178" s="428"/>
      <c r="K178" s="246" t="str">
        <f>IF(J178="","","V")</f>
        <v/>
      </c>
      <c r="L178" s="429"/>
      <c r="M178" s="430"/>
      <c r="N178" s="431"/>
      <c r="O178" s="164"/>
      <c r="P178" s="194"/>
      <c r="Q178" s="165"/>
      <c r="R178" s="166"/>
      <c r="S178" s="167" t="str">
        <f>IF(R178="","",IF(Q178="",P178/R178,P178/(Q178*R178)))</f>
        <v/>
      </c>
      <c r="T178" s="168"/>
      <c r="U178" s="169" t="str">
        <f>IF(OR(BA180="",S178=""),"",S178*1000*T178/(SQRT(BA178)*BA180))</f>
        <v/>
      </c>
      <c r="V178" s="236" t="str">
        <f>IF(AND(N(U178)=0,N(U179)=0,N(U180)=0,N(U181)=0),"",BA180/(SUM(U178:U181)))</f>
        <v/>
      </c>
      <c r="W178" s="220"/>
      <c r="X178" s="222"/>
      <c r="Y178" s="223"/>
      <c r="Z178" s="224"/>
      <c r="AA178" s="228"/>
      <c r="AB178" s="230"/>
      <c r="AC178" s="223"/>
      <c r="AD178" s="224"/>
      <c r="AE178" s="232"/>
      <c r="AF178" s="104" t="str">
        <f>IF(OR(AND(AF174="",N(BA176)=0,BA180&lt;&gt;0),D178&lt;&gt;""),AX180/AQ179,"")</f>
        <v/>
      </c>
      <c r="AG178" s="234" t="str">
        <f>IF(BA180=0,"",IF(AD180="",AX178,IF(AND(D178&lt;&gt;"",AU178=""),AX180*SQRT(AP180^2+AP181^2)/SQRT(AS178^2+AS179^2)/AQ179,AX178*SQRT(AP180^2+AP181^2)/SQRT(AS178^2+AS179^2))))</f>
        <v/>
      </c>
      <c r="AH178" s="235"/>
      <c r="AI178" s="105" t="str">
        <f>IF(AG178="","",IF(N(U178)&lt;0,-AX178*AQ179/SQRT(AS178^2+AS179^2),AX178*AQ179/SQRT(AS178^2+AS179^2)))</f>
        <v/>
      </c>
      <c r="AJ178" s="201"/>
      <c r="AK178" s="202"/>
      <c r="AL178" s="106"/>
      <c r="AM178" s="59"/>
      <c r="AN178" s="107" t="b">
        <f>IF(BA178="","",IF(AND(BA178=1,F180=50,L178="油入自冷"),VLOOKUP(L180,変１,2,FALSE),IF(AND(BA178=1,F180=50,L178="モ－ルド絶縁"),VLOOKUP(L180,変１,7,FALSE),IF(AND(BA178=1,F180=60,L178="油入自冷"),VLOOKUP(L180,変１,12,FALSE),IF(AND(BA178=1,F180=60,L178="モ－ルド絶縁"),VLOOKUP(L180,変１,17,FALSE),FALSE)))))</f>
        <v>0</v>
      </c>
      <c r="AO178" s="107">
        <f>IF(ISNA(VLOOKUP(L180,変ＵＳＥＲ,2,FALSE)),0,VLOOKUP(L180,変ＵＳＥＲ,2,FALSE))</f>
        <v>0</v>
      </c>
      <c r="AP178" s="108">
        <f>IF(N178="",0,N178*1000/BA180^2/SQRT(BA178))</f>
        <v>0</v>
      </c>
      <c r="AQ178" s="107" t="b">
        <f>IF(BA178=1,2,IF(BA178=3,SQRT(3),FALSE))</f>
        <v>0</v>
      </c>
      <c r="AR178" s="109" t="str">
        <f>IF(X178="","",IF(X178="600V IV",VLOOKUP(X180,ＩＶ,2,FALSE),IF(X178="600V CV-T",VLOOKUP(X180,ＣＶＴ,2,FALSE),IF(OR(X178="600V CV-1C",X178="600V CV-2C",X178="600V CV-3C",X178="600V CV-4C"),VLOOKUP(X180,ＣＶ２３Ｃ,2,FALSE),VLOOKUP(X180,ＣＵＳＥＲ,2,FALSE)))))</f>
        <v/>
      </c>
      <c r="AS178" s="107" t="str">
        <f>IF(AB181="",AP180,AP180+(AB181/1000))</f>
        <v/>
      </c>
      <c r="AT178" s="110" t="str">
        <f>IF(AU180="",AT180,AU180)</f>
        <v/>
      </c>
      <c r="AU178" s="110" t="str">
        <f>IF(D178="","",IF(AND(D182="",D186&lt;&gt;"",AV181=AV189),AT186,IF(AND(D182="",D186="",#REF!&lt;&gt;"",AV185=#REF!),#REF!,IF(AND(D182="",D186="",#REF!="",D190&lt;&gt;"",AV189=AV193),AT190,IF(AND(D182="",D186="",#REF!="",D190="",D194&lt;&gt;"",#REF!=AV197),AT194,IF(AND(D182="",D186="",#REF!="",D190="",D194="",D198&lt;&gt;"",AV193=AV201),AT198,IF(AND(D182="",D186="",#REF!="",D190="",D194="",D198="",D202&lt;&gt;"",AV197=AV205),AT202,"")))))))</f>
        <v/>
      </c>
      <c r="AV178" s="110" t="str">
        <f>IF(L178="発電機",IF(ISNA(VLOOKUP(L180,ＡＣＧ,2,FALSE)),0,VLOOKUP(L180,ＡＣＧ,2,FALSE)),"")</f>
        <v/>
      </c>
      <c r="AW178" s="111" t="str">
        <f>IF(AT178="","",AT178/((AT178*AP178)^2+(AT179*AP178-1)^2))</f>
        <v/>
      </c>
      <c r="AX178" s="112" t="str">
        <f>IF(BA180=0,"",IF(OR(AX54="",AF178&lt;&gt;""),AF178*SQRT(AS180^2+AS181^2)/SQRT(AT180^2+AT181^2),AX54*SQRT(AS180^2+AS181^2)/SQRT(AT180^2+AT181^2)))</f>
        <v/>
      </c>
      <c r="AY178" s="113">
        <f>IF(N(AY180)=10^30,10^30,IF(N(AY184)=10^30,(N(AY180)*(N(AY184)^2+N(AY185)^2)+N(AY184)*(N(AY180)^2+N(AY181)^2))/((N(AY180)+N(AY184))^2+(N(AY181)+N(AY185))^2),(N(AY180)*(N(AY182)^2+N(AY183)^2)+N(AY182)*(N(AY180)^2+N(AY181)^2))/((N(AY180)+N(AY182))^2+(N(AY181)+N(AY183))^2)))</f>
        <v>1E+30</v>
      </c>
      <c r="AZ178" s="52"/>
      <c r="BA178" s="114">
        <f>IF(AND(F178="",SUM(S178:S181)&lt;&gt;0),BA54,F178)</f>
        <v>0</v>
      </c>
      <c r="BB178" s="115">
        <f>IF(AND(BA178=3,S178&lt;&gt;""),1,0)</f>
        <v>0</v>
      </c>
      <c r="BC178" s="52"/>
      <c r="BD178" s="52"/>
      <c r="BH178" s="162">
        <f>IF(OR(E178="",F181="",AND(OR(P178="",Q178="",R178="",T178=""),OR(P179="",Q179="",R179="",T179=""),OR(P180="",Q180="",R180="",T180=""),OR(P181="",Q181="",R181="",T181="")),AND(OR(X178="",X180="",Y180="",Z180=""),OR(AB178="",AB180="",AC180="",AD180=""))),0,1)</f>
        <v>0</v>
      </c>
      <c r="BI178" s="162">
        <f>BH178+BI174</f>
        <v>4</v>
      </c>
      <c r="BJ178" s="4"/>
      <c r="BK178" s="4"/>
    </row>
    <row r="179" spans="1:63" ht="15" customHeight="1" x14ac:dyDescent="0.15">
      <c r="A179" s="159"/>
      <c r="B179" s="159"/>
      <c r="C179" s="245"/>
      <c r="D179" s="432"/>
      <c r="E179" s="448"/>
      <c r="F179" s="434"/>
      <c r="G179" s="241"/>
      <c r="H179" s="435"/>
      <c r="I179" s="241"/>
      <c r="J179" s="435"/>
      <c r="K179" s="247"/>
      <c r="L179" s="436"/>
      <c r="M179" s="170" t="str">
        <f>IF(L178="発電機",SQRT(AV178^2+AV179^2),IF(L180="","",IF(OR(L178="油入自冷",L178="モ－ルド絶縁"),IF(BA178=1,SQRT(AN178^2+AN179^2),IF(BA178=3,SQRT(AN180^2+AN181^2))),SQRT(AO178^2+AO179^2))))</f>
        <v/>
      </c>
      <c r="N179" s="437"/>
      <c r="O179" s="171"/>
      <c r="P179" s="195"/>
      <c r="Q179" s="172"/>
      <c r="R179" s="173"/>
      <c r="S179" s="174" t="str">
        <f t="shared" ref="S179:S193" si="8">IF(R179="","",IF(Q179="",P179/R179,P179/(Q179*R179)))</f>
        <v/>
      </c>
      <c r="T179" s="175"/>
      <c r="U179" s="176" t="str">
        <f>IF(OR(BA180="",S179=""),"",S179*1000*T179/(SQRT(BA178)*BA180))</f>
        <v/>
      </c>
      <c r="V179" s="237"/>
      <c r="W179" s="221"/>
      <c r="X179" s="225"/>
      <c r="Y179" s="226"/>
      <c r="Z179" s="227"/>
      <c r="AA179" s="229"/>
      <c r="AB179" s="231"/>
      <c r="AC179" s="226"/>
      <c r="AD179" s="227"/>
      <c r="AE179" s="233"/>
      <c r="AF179" s="124" t="str">
        <f>IF(OR(AF178="",AG174&lt;&gt;""),"",AF178*AQ179/SQRT(AT178^2+AT179^2))</f>
        <v/>
      </c>
      <c r="AG179" s="205" t="str">
        <f>IF(AG178="","",100*AG178*AQ179/BA180)</f>
        <v/>
      </c>
      <c r="AH179" s="206"/>
      <c r="AI179" s="207" t="str">
        <f>IF(BA180=0,"",IF(AI174="",AX180/SQRT(AT178^2+AT179^2),IF(AI182="","",IF(AT178&lt;0,-AX178*AQ175/SQRT(AT178^2+AT179^2),AX178*AQ175/SQRT(AT178^2+AT179^2)))))</f>
        <v/>
      </c>
      <c r="AJ179" s="203"/>
      <c r="AK179" s="204"/>
      <c r="AL179" s="125"/>
      <c r="AM179" s="59"/>
      <c r="AN179" s="107" t="b">
        <f>IF(BA178="","",IF(AND(BA178=1,F180=50,L178="油入自冷"),VLOOKUP(L180,変１,3,FALSE),IF(AND(BA178=1,F180=50,L178="モ－ルド絶縁"),VLOOKUP(L180,変１,8,FALSE),IF(AND(BA178=1,F180=60,L178="油入自冷"),VLOOKUP(L180,変１,13,FALSE),IF(AND(BA178=1,F180=60,L178="モ－ルド絶縁"),VLOOKUP(L180,変１,18,FALSE),FALSE)))))</f>
        <v>0</v>
      </c>
      <c r="AO179" s="107">
        <f>IF(ISNA(VLOOKUP(L180,変ＵＳＥＲ,3,FALSE)),0,VLOOKUP(L180,変ＵＳＥＲ,3,FALSE)*BA181/50)</f>
        <v>0</v>
      </c>
      <c r="AP179" s="108">
        <f>IF(W178="",0,W178*1000/BA180^2/SQRT(BA178))</f>
        <v>0</v>
      </c>
      <c r="AQ179" s="107">
        <f>IF(AND(BA178=1,BA179=2),1,IF(AND(BA178=3,BA179=3),1,IF(AND(BA178=1,BA179=3),2,IF(AND(BA178=3,BA179=4)*OR(BB178=1,BB179=1,BB180=1,BB181=1),1,SQRT(3)))))</f>
        <v>1.7320508075688772</v>
      </c>
      <c r="AR179" s="109" t="str">
        <f>IF(X178="","",IF(X178="600V IV",VLOOKUP(X180,ＩＶ,3,FALSE),IF(X178="600V CV-T",VLOOKUP(X180,ＣＶＴ,3,FALSE),IF(OR(X178="600V CV-1C",X178="600V CV-2C",X178="600V CV-3C",X178="600V CV-4C"),VLOOKUP(X180,ＣＶ２３Ｃ,3,FALSE),VLOOKUP(X180,ＣＵＳＥＲ,3,FALSE)))))</f>
        <v/>
      </c>
      <c r="AS179" s="107" t="str">
        <f>IF(AD181="",AP181,AP181+(AD181/1000))</f>
        <v/>
      </c>
      <c r="AT179" s="110" t="str">
        <f>IF(AU181="",AT181,AU181)</f>
        <v/>
      </c>
      <c r="AU179" s="110" t="str">
        <f>IF(D178="","",IF(AND(D182="",D186&lt;&gt;"",AV181=AV189),AT187,IF(AND(D182="",D186="",#REF!&lt;&gt;"",AV185=#REF!),#REF!,IF(AND(D182="",D186="",#REF!="",D190&lt;&gt;"",AV189=AV193),AT191,IF(AND(D182="",D186="",#REF!="",D190="",D194&lt;&gt;"",#REF!=AV197),AT195,IF(AND(D182="",D186="",#REF!="",D190="",D194="",D198&lt;&gt;"",AV193=AV201),AT199,IF(AND(D182="",D186="",#REF!="",D190="",D194="",D198="",D202&lt;&gt;"",AV197=AV205),AT203,"")))))))</f>
        <v/>
      </c>
      <c r="AV179" s="109" t="str">
        <f>IF(L178="発電機",IF(ISNA(VLOOKUP(L180,ＡＣＧ,3,FALSE)),0,VLOOKUP(L180,ＡＣＧ,3,FALSE)*BA181/50),"")</f>
        <v/>
      </c>
      <c r="AW179" s="111" t="str">
        <f>IF(AT179="","",(AT179-AP178*(AT178^2+AT179^2))/((AT178*AP178)^2+(AP178*AT179-1)^2))</f>
        <v/>
      </c>
      <c r="AX179" s="112"/>
      <c r="AY179" s="113">
        <f>IF(N(AY181)=10^30,10^30,IF(N(AY185)=10^30,(N(AY181)*(N(AY184)^2+N(AY185)^2)+N(AY185)*(N(AY180)^2+N(AY181)^2))/((N(AY180)+N(AY184))^2+(N(AY181)+N(AY185))^2),(N(AY181)*(N(AY182)^2+N(AY183)^2)+N(AY183)*(N(AY180)^2+N(AY181)^2))/((N(AY180)+N(AY182))^2+(N(AY181)+N(AY183))^2)))</f>
        <v>1E+30</v>
      </c>
      <c r="AZ179" s="52"/>
      <c r="BA179" s="114">
        <f>IF(AND(H178="",SUM(S178:S181)&lt;&gt;0),BA55,H178)</f>
        <v>0</v>
      </c>
      <c r="BB179" s="115">
        <f>IF(AND(BA178=3,S179&lt;&gt;""),1,0)</f>
        <v>0</v>
      </c>
      <c r="BC179" s="52"/>
      <c r="BD179" s="52"/>
      <c r="BH179" s="162"/>
      <c r="BI179" s="162"/>
      <c r="BJ179" s="4"/>
      <c r="BK179" s="4"/>
    </row>
    <row r="180" spans="1:63" ht="15" customHeight="1" x14ac:dyDescent="0.15">
      <c r="A180" s="159"/>
      <c r="B180" s="159"/>
      <c r="C180" s="245"/>
      <c r="D180" s="432"/>
      <c r="E180" s="448"/>
      <c r="F180" s="438"/>
      <c r="G180" s="438"/>
      <c r="H180" s="438"/>
      <c r="I180" s="438"/>
      <c r="J180" s="438"/>
      <c r="K180" s="439"/>
      <c r="L180" s="440"/>
      <c r="M180" s="441"/>
      <c r="N180" s="437"/>
      <c r="O180" s="171"/>
      <c r="P180" s="196"/>
      <c r="Q180" s="177"/>
      <c r="R180" s="173"/>
      <c r="S180" s="174" t="str">
        <f t="shared" si="8"/>
        <v/>
      </c>
      <c r="T180" s="175"/>
      <c r="U180" s="178" t="str">
        <f>IF(OR(BA180="",S180=""),"",S180*1000*T180/(SQRT(BA178)*BA180))</f>
        <v/>
      </c>
      <c r="V180" s="179" t="str">
        <f>IF(AND(N(U178)=0,N(U179)=0,N(U180)=0,N(U181)=0),"",V178*(P178*R178*T178+P179*R179*T179+P180*R180*T180+P181*R181*T181)/(P178*T178+P179*T179+P180*T180+P181*T181))</f>
        <v/>
      </c>
      <c r="W180" s="209" t="str">
        <f>IF(AND(N(AP180)=0,N(AP181)=0,N(AP179)=0),"",IF(AP181&gt;=0,COS(ATAN(AP181/AP180)),-COS(ATAN(AP181/AP180))))</f>
        <v/>
      </c>
      <c r="X180" s="180"/>
      <c r="Y180" s="181"/>
      <c r="Z180" s="182"/>
      <c r="AA180" s="183"/>
      <c r="AB180" s="184"/>
      <c r="AC180" s="181"/>
      <c r="AD180" s="182"/>
      <c r="AE180" s="185"/>
      <c r="AF180" s="136" t="str">
        <f>IF(OR(AF178="",AG174&lt;&gt;""),"",BA180/SQRT(AW180^2+AW181^2))</f>
        <v/>
      </c>
      <c r="AG180" s="205" t="str">
        <f>IF(AG178="","",100*((BA180/AQ179)-AG178)/(BA180/AQ179))</f>
        <v/>
      </c>
      <c r="AH180" s="206"/>
      <c r="AI180" s="208"/>
      <c r="AJ180" s="211"/>
      <c r="AK180" s="213"/>
      <c r="AL180" s="137"/>
      <c r="AM180" s="59"/>
      <c r="AN180" s="138" t="b">
        <f>IF(BA178="","",IF(AND(BA178=3,F180=50,L178="油入自冷"),VLOOKUP(L180,変３,2,FALSE),IF(AND(BA178=3,F180=50,L178="モ－ルド絶縁"),VLOOKUP(L180,変３,7,FALSE),IF(AND(BA178=3,F180=60,L178="油入自冷"),VLOOKUP(L180,変３,12,FALSE),IF(AND(BA178=3,F180=60,L178="モ－ルド絶縁"),VLOOKUP(L180,変３,17,FALSE),FALSE)))))</f>
        <v>0</v>
      </c>
      <c r="AO180" s="109" t="str">
        <f>IF(AND(L54="",N(AY178)&lt;10^29),AY178,"")</f>
        <v/>
      </c>
      <c r="AP180" s="139" t="str">
        <f>IF(V178="","",IF(AND(N(V180)=0,N(AP179)=0),"",AQ180/((AQ180*AP179)^2+(AP179*AQ181-1)^2)))</f>
        <v/>
      </c>
      <c r="AQ180" s="107">
        <f>IF(N(V180)=0,10^30,V180)</f>
        <v>1E+30</v>
      </c>
      <c r="AR180" s="109" t="str">
        <f>IF(AB178="","",IF(AB178="600V IV",VLOOKUP(AB180,ＩＶ,2,FALSE),IF(AB178="600V CV-T",VLOOKUP(AB180,ＣＶＴ,2,FALSE),IF(OR(AB178="600V CV-1C",AB178="600V CV-2C",AB178="600V CV-3C",AB178="600V CV-4C"),VLOOKUP(AB180,ＣＶ２３Ｃ,2,FALSE),VLOOKUP(AB180,ＣＵＳＥＲ,2,FALSE)))))</f>
        <v/>
      </c>
      <c r="AS180" s="107" t="str">
        <f>IF(OR(AND(AS182="",AS183=""),AND(D178="",D182&lt;&gt;"")),AS178,(AS178*(AT182^2+AT183^2)+AT182*(AS178^2+AS179^2))/((AS178+AT182)^2+(AS179+AT183)^2))</f>
        <v/>
      </c>
      <c r="AT180" s="110" t="str">
        <f>IF(X181="",AS180,N(AS180)+(X181/1000))</f>
        <v/>
      </c>
      <c r="AU180" s="110" t="str">
        <f>IF(AU178="","",(AT180*(AU178^2+AU179^2)+AU178*(AT180^2+AT181^2))/((AT180+AU178)^2+(AT181+AU179)^2))</f>
        <v/>
      </c>
      <c r="AV180" s="110">
        <f>IF(BA180=0,1,0)</f>
        <v>1</v>
      </c>
      <c r="AW180" s="111" t="str">
        <f>IF(AO180="","",AW178+AO180)</f>
        <v/>
      </c>
      <c r="AX180" s="112" t="str">
        <f>IF(AND(AX56="",AW180&lt;&gt;""),BA180*SQRT(AW178^2+AW179^2)/SQRT(AW180^2+AW181^2),IF(BA180&lt;&gt;0,AX56,""))</f>
        <v/>
      </c>
      <c r="AY180" s="140">
        <f>IF(L180="",10^30,SQRT(BA178)*(BA180^2)*(N(AN178)+N(AN180)+N(AO178)+N(AV178))/(100000*L180*M178))</f>
        <v>1E+30</v>
      </c>
      <c r="AZ180" s="141"/>
      <c r="BA180" s="114">
        <f>IF(AND(J178="",SUM(S178:S181)&lt;&gt;0),BA56,J178)</f>
        <v>0</v>
      </c>
      <c r="BB180" s="115">
        <f>IF(AND(BA178=3,S180&lt;&gt;""),1,0)</f>
        <v>0</v>
      </c>
      <c r="BC180" s="52"/>
      <c r="BD180" s="52"/>
      <c r="BH180" s="162"/>
      <c r="BI180" s="162"/>
      <c r="BJ180" s="4"/>
      <c r="BK180" s="4"/>
    </row>
    <row r="181" spans="1:63" ht="15" customHeight="1" x14ac:dyDescent="0.15">
      <c r="A181" s="159"/>
      <c r="B181" s="159"/>
      <c r="C181" s="245"/>
      <c r="D181" s="442"/>
      <c r="E181" s="449"/>
      <c r="F181" s="444"/>
      <c r="G181" s="444"/>
      <c r="H181" s="444"/>
      <c r="I181" s="444"/>
      <c r="J181" s="444"/>
      <c r="K181" s="445"/>
      <c r="L181" s="238" t="str">
        <f>IF(M178="","",L180*1000*M178/(SQRT(BA178)*BA180))</f>
        <v/>
      </c>
      <c r="M181" s="239"/>
      <c r="N181" s="446"/>
      <c r="O181" s="186"/>
      <c r="P181" s="197"/>
      <c r="Q181" s="187"/>
      <c r="R181" s="188"/>
      <c r="S181" s="189" t="str">
        <f t="shared" si="8"/>
        <v/>
      </c>
      <c r="T181" s="190"/>
      <c r="U181" s="191" t="str">
        <f>IF(OR(BA180="",S181=""),"",S181*1000*T181/(SQRT(BA178)*BA180))</f>
        <v/>
      </c>
      <c r="V181" s="192" t="str">
        <f>IF(AND(N(U178)=0,N(U179)=0,N(U180)=0,N(U181)=0),"",IF(V178&gt;=0,SQRT(ABS(V178^2-V180^2)),-SQRT(V178^2-V180^2)))</f>
        <v/>
      </c>
      <c r="W181" s="210"/>
      <c r="X181" s="215" t="str">
        <f>IF(Y180="","",AQ178*Z180*AR178*((1+0.00393*(F181-20))/1.2751)/Y180)</f>
        <v/>
      </c>
      <c r="Y181" s="216"/>
      <c r="Z181" s="217" t="str">
        <f>IF(Y180="","",(BA181/50)*AQ178*Z180*AR179/Y180)</f>
        <v/>
      </c>
      <c r="AA181" s="218"/>
      <c r="AB181" s="219" t="str">
        <f>IF(AC180="","",AQ178*AD180*AR180*((1+0.00393*(F181-20))/1.2751)/AC180)</f>
        <v/>
      </c>
      <c r="AC181" s="216"/>
      <c r="AD181" s="217" t="str">
        <f>IF(AC180="","",(BA181/50)*AQ178*AD180*AR181/AC180)</f>
        <v/>
      </c>
      <c r="AE181" s="242"/>
      <c r="AF181" s="150" t="str">
        <f>IF(AND(AX178&lt;&gt;"",D178=""),AX178,"")</f>
        <v/>
      </c>
      <c r="AG181" s="243" t="str">
        <f>IF(AP180="","",AP180)</f>
        <v/>
      </c>
      <c r="AH181" s="244"/>
      <c r="AI181" s="151" t="str">
        <f>IF(AP181="","",AP181)</f>
        <v/>
      </c>
      <c r="AJ181" s="212"/>
      <c r="AK181" s="214"/>
      <c r="AL181" s="152"/>
      <c r="AM181" s="59"/>
      <c r="AN181" s="153" t="b">
        <f>IF(BA178="","",IF(AND(BA178=3,F180=50,L178="油入自冷"),VLOOKUP(L180,変３,3,FALSE),IF(AND(BA178=3,F180=50,L178="モ－ルド絶縁"),VLOOKUP(L180,変３,8,FALSE),IF(AND(BA178=3,F180=60,L178="油入自冷"),VLOOKUP(L180,変３,13,FALSE),IF(AND(BA178=3,F180=60,L178="モ－ルド絶縁"),VLOOKUP(L180,変３,18,FALSE),FALSE)))))</f>
        <v>0</v>
      </c>
      <c r="AO181" s="153" t="str">
        <f>IF(AND(L54="",N(AY179)&lt;10^29),AY179,"")</f>
        <v/>
      </c>
      <c r="AP181" s="154" t="str">
        <f>IF(V178="","",IF(AND(N(V181)=0,N(AP179)=0),0,(AQ181-AP179*(AQ180^2+AQ181^2))/((AQ180*AP179)^2+(AP179*AQ181-1)^2)))</f>
        <v/>
      </c>
      <c r="AQ181" s="155">
        <f>IF(N(V181)=0,10^30,V181)</f>
        <v>1E+30</v>
      </c>
      <c r="AR181" s="153" t="str">
        <f>IF(AB178="","",IF(AB178="600V IV",VLOOKUP(AB180,ＩＶ,3,FALSE),IF(AB178="600V CV-T",VLOOKUP(AB180,ＣＶＴ,3,FALSE),IF(OR(AB178="600V CV-1C",AB178="600V CV-2C",AB178="600V CV-3C",AB178="600V CV-4C"),VLOOKUP(AB180,ＣＶ２３Ｃ,3,FALSE),VLOOKUP(AB180,ＣＵＳＥＲ,3,FALSE)))))</f>
        <v/>
      </c>
      <c r="AS181" s="155" t="str">
        <f>IF(OR(AND(AS182="",AS183=""),AND(D178="",D182&lt;&gt;"")),AS179,(AS179*(AT182^2+AT183^2)+AT183*(AS178^2+AS179^2))/((AS178+AT182)^2+(AS179+AT183)^2))</f>
        <v/>
      </c>
      <c r="AT181" s="156" t="str">
        <f>IF(Z181="",AS181,N(AS181)+(Z181/1000))</f>
        <v/>
      </c>
      <c r="AU181" s="156" t="str">
        <f>IF(AU179="","",(AT181*(AU178^2+AU179^2)+AU179*(AT180^2+AT181^2))/((AT180+AU178)^2+(AT181+AU179)^2))</f>
        <v/>
      </c>
      <c r="AV181" s="156">
        <f>AV57+AV180</f>
        <v>8</v>
      </c>
      <c r="AW181" s="155" t="str">
        <f>IF(AO181="","",AW179+AO181)</f>
        <v/>
      </c>
      <c r="AX181" s="157"/>
      <c r="AY181" s="140">
        <f>IF(L180="",10^30,SQRT(BA178)*(BA180^2)*(N(AN179)+N(AN181)+N(AO179)+N(AV179))/(100000*L180*M178))</f>
        <v>1E+30</v>
      </c>
      <c r="AZ181" s="141"/>
      <c r="BA181" s="114">
        <f>IF(AND(F180="",SUM(S178:S181)&lt;&gt;0),BA57,F180)</f>
        <v>0</v>
      </c>
      <c r="BB181" s="115">
        <f>IF(AND(BA178=3,S181&lt;&gt;""),1,0)</f>
        <v>0</v>
      </c>
      <c r="BC181" s="52"/>
      <c r="BD181" s="52"/>
      <c r="BH181" s="162"/>
      <c r="BI181" s="162"/>
      <c r="BJ181" s="4"/>
      <c r="BK181" s="4"/>
    </row>
    <row r="182" spans="1:63" ht="15" customHeight="1" x14ac:dyDescent="0.15">
      <c r="A182" s="159"/>
      <c r="B182" s="159"/>
      <c r="C182" s="245" t="str">
        <f>IF(BH182=1,"●","・")</f>
        <v>・</v>
      </c>
      <c r="D182" s="425"/>
      <c r="E182" s="447"/>
      <c r="F182" s="427"/>
      <c r="G182" s="240" t="str">
        <f>IF(F182="","","φ")</f>
        <v/>
      </c>
      <c r="H182" s="428"/>
      <c r="I182" s="240" t="str">
        <f>IF(H182="","","W")</f>
        <v/>
      </c>
      <c r="J182" s="428"/>
      <c r="K182" s="246" t="str">
        <f>IF(J182="","","V")</f>
        <v/>
      </c>
      <c r="L182" s="429"/>
      <c r="M182" s="430"/>
      <c r="N182" s="431"/>
      <c r="O182" s="164"/>
      <c r="P182" s="194"/>
      <c r="Q182" s="165"/>
      <c r="R182" s="166"/>
      <c r="S182" s="167" t="str">
        <f>IF(R182="","",IF(Q182="",P182/R182,P182/(Q182*R182)))</f>
        <v/>
      </c>
      <c r="T182" s="168"/>
      <c r="U182" s="169" t="str">
        <f>IF(OR(BA184="",S182=""),"",S182*1000*T182/(SQRT(BA182)*BA184))</f>
        <v/>
      </c>
      <c r="V182" s="236" t="str">
        <f>IF(AND(N(U182)=0,N(U183)=0,N(U184)=0,N(U185)=0),"",BA184/(SUM(U182:U185)))</f>
        <v/>
      </c>
      <c r="W182" s="220"/>
      <c r="X182" s="222"/>
      <c r="Y182" s="223"/>
      <c r="Z182" s="224"/>
      <c r="AA182" s="228"/>
      <c r="AB182" s="230"/>
      <c r="AC182" s="223"/>
      <c r="AD182" s="224"/>
      <c r="AE182" s="232"/>
      <c r="AF182" s="104" t="str">
        <f>IF(OR(AND(AF178="",N(BA180)=0,BA184&lt;&gt;0),D182&lt;&gt;""),AX184/AQ183,"")</f>
        <v/>
      </c>
      <c r="AG182" s="234" t="str">
        <f>IF(BA184=0,"",IF(AD184="",AX182,IF(AND(D182&lt;&gt;"",AU182=""),AX184*SQRT(AP184^2+AP185^2)/SQRT(AS182^2+AS183^2)/AQ183,AX182*SQRT(AP184^2+AP185^2)/SQRT(AS182^2+AS183^2))))</f>
        <v/>
      </c>
      <c r="AH182" s="235"/>
      <c r="AI182" s="105" t="str">
        <f>IF(AG182="","",IF(N(U182)&lt;0,-AX182*AQ183/SQRT(AS182^2+AS183^2),AX182*AQ183/SQRT(AS182^2+AS183^2)))</f>
        <v/>
      </c>
      <c r="AJ182" s="201"/>
      <c r="AK182" s="202"/>
      <c r="AL182" s="106"/>
      <c r="AM182" s="59"/>
      <c r="AN182" s="107" t="b">
        <f>IF(BA182="","",IF(AND(BA182=1,F184=50,L182="油入自冷"),VLOOKUP(L184,変１,2,FALSE),IF(AND(BA182=1,F184=50,L182="モ－ルド絶縁"),VLOOKUP(L184,変１,7,FALSE),IF(AND(BA182=1,F184=60,L182="油入自冷"),VLOOKUP(L184,変１,12,FALSE),IF(AND(BA182=1,F184=60,L182="モ－ルド絶縁"),VLOOKUP(L184,変１,17,FALSE),FALSE)))))</f>
        <v>0</v>
      </c>
      <c r="AO182" s="107">
        <f>IF(ISNA(VLOOKUP(L184,変ＵＳＥＲ,2,FALSE)),0,VLOOKUP(L184,変ＵＳＥＲ,2,FALSE))</f>
        <v>0</v>
      </c>
      <c r="AP182" s="108">
        <f>IF(N182="",0,N182*1000/BA184^2/SQRT(BA182))</f>
        <v>0</v>
      </c>
      <c r="AQ182" s="107" t="b">
        <f>IF(BA182=1,2,IF(BA182=3,SQRT(3),FALSE))</f>
        <v>0</v>
      </c>
      <c r="AR182" s="109" t="str">
        <f>IF(X182="","",IF(X182="600V IV",VLOOKUP(X184,ＩＶ,2,FALSE),IF(X182="600V CV-T",VLOOKUP(X184,ＣＶＴ,2,FALSE),IF(OR(X182="600V CV-1C",X182="600V CV-2C",X182="600V CV-3C",X182="600V CV-4C"),VLOOKUP(X184,ＣＶ２３Ｃ,2,FALSE),VLOOKUP(X184,ＣＵＳＥＲ,2,FALSE)))))</f>
        <v/>
      </c>
      <c r="AS182" s="107" t="str">
        <f>IF(AB185="",AP184,AP184+(AB185/1000))</f>
        <v/>
      </c>
      <c r="AT182" s="110" t="str">
        <f>IF(AU184="",AT184,AU184)</f>
        <v/>
      </c>
      <c r="AU182" s="110" t="str">
        <f>IF(D182="","",IF(AND(D186="",#REF!&lt;&gt;"",AV185=#REF!),#REF!,IF(AND(D186="",#REF!="",D190&lt;&gt;"",AV189=AV193),AT190,IF(AND(D186="",#REF!="",D190="",D194&lt;&gt;"",#REF!=AV197),AT194,IF(AND(D186="",#REF!="",D190="",D194="",D198&lt;&gt;"",AV193=AV201),AT198,IF(AND(D186="",#REF!="",D190="",D194="",D198="",D202&lt;&gt;"",AV197=AV205),AT202,IF(AND(D186="",#REF!="",D190="",D194="",D198="",D202="",D206&lt;&gt;"",AV201=AV209),AT206,"")))))))</f>
        <v/>
      </c>
      <c r="AV182" s="110" t="str">
        <f>IF(L182="発電機",IF(ISNA(VLOOKUP(L184,ＡＣＧ,2,FALSE)),0,VLOOKUP(L184,ＡＣＧ,2,FALSE)),"")</f>
        <v/>
      </c>
      <c r="AW182" s="111" t="str">
        <f>IF(AT182="","",AT182/((AT182*AP182)^2+(AT183*AP182-1)^2))</f>
        <v/>
      </c>
      <c r="AX182" s="112" t="str">
        <f>IF(BA184=0,"",IF(OR(AX178="",AF182&lt;&gt;""),AF182*SQRT(AS184^2+AS185^2)/SQRT(AT184^2+AT185^2),AX178*SQRT(AS184^2+AS185^2)/SQRT(AT184^2+AT185^2)))</f>
        <v/>
      </c>
      <c r="AY182" s="113">
        <f>IF(N(AY184)=10^30,10^30,IF(N(AY188)=10^30,(N(AY184)*(N(AY188)^2+N(AY189)^2)+N(AY188)*(N(AY184)^2+N(AY185)^2))/((N(AY184)+N(AY188))^2+(N(AY185)+N(AY189))^2),(N(AY184)*(N(AY186)^2+N(AY187)^2)+N(AY186)*(N(AY184)^2+N(AY185)^2))/((N(AY184)+N(AY186))^2+(N(AY185)+N(AY187))^2)))</f>
        <v>1E+30</v>
      </c>
      <c r="AZ182" s="52"/>
      <c r="BA182" s="114">
        <f>IF(AND(F182="",SUM(S182:S185)&lt;&gt;0),BA178,F182)</f>
        <v>0</v>
      </c>
      <c r="BB182" s="115">
        <f>IF(AND(BA182=3,S182&lt;&gt;""),1,0)</f>
        <v>0</v>
      </c>
      <c r="BC182" s="52"/>
      <c r="BD182" s="52"/>
      <c r="BH182" s="162">
        <f>IF(OR(E182="",F185="",AND(OR(P182="",Q182="",R182="",T182=""),OR(P183="",Q183="",R183="",T183=""),OR(P184="",Q184="",R184="",T184=""),OR(P185="",Q185="",R185="",T185="")),AND(OR(X182="",X184="",Y184="",Z184=""),OR(AB182="",AB184="",AC184="",AD184=""))),0,1)</f>
        <v>0</v>
      </c>
      <c r="BI182" s="162">
        <f>BH182+BI178</f>
        <v>4</v>
      </c>
      <c r="BJ182" s="4"/>
      <c r="BK182" s="4"/>
    </row>
    <row r="183" spans="1:63" ht="15" customHeight="1" x14ac:dyDescent="0.15">
      <c r="A183" s="159"/>
      <c r="B183" s="159"/>
      <c r="C183" s="245"/>
      <c r="D183" s="432"/>
      <c r="E183" s="448"/>
      <c r="F183" s="434"/>
      <c r="G183" s="241"/>
      <c r="H183" s="435"/>
      <c r="I183" s="241"/>
      <c r="J183" s="435"/>
      <c r="K183" s="247"/>
      <c r="L183" s="436"/>
      <c r="M183" s="170" t="str">
        <f>IF(L182="発電機",SQRT(AV182^2+AV183^2),IF(L184="","",IF(OR(L182="油入自冷",L182="モ－ルド絶縁"),IF(BA182=1,SQRT(AN182^2+AN183^2),IF(BA182=3,SQRT(AN184^2+AN185^2))),SQRT(AO182^2+AO183^2))))</f>
        <v/>
      </c>
      <c r="N183" s="437"/>
      <c r="O183" s="171"/>
      <c r="P183" s="195"/>
      <c r="Q183" s="172"/>
      <c r="R183" s="173"/>
      <c r="S183" s="174" t="str">
        <f t="shared" si="8"/>
        <v/>
      </c>
      <c r="T183" s="175"/>
      <c r="U183" s="176" t="str">
        <f>IF(OR(BA184="",S183=""),"",S183*1000*T183/(SQRT(BA182)*BA184))</f>
        <v/>
      </c>
      <c r="V183" s="237"/>
      <c r="W183" s="221"/>
      <c r="X183" s="225"/>
      <c r="Y183" s="226"/>
      <c r="Z183" s="227"/>
      <c r="AA183" s="229"/>
      <c r="AB183" s="231"/>
      <c r="AC183" s="226"/>
      <c r="AD183" s="227"/>
      <c r="AE183" s="233"/>
      <c r="AF183" s="124" t="str">
        <f>IF(OR(AF182="",AG178&lt;&gt;""),"",AF182*AQ183/SQRT(AT182^2+AT183^2))</f>
        <v/>
      </c>
      <c r="AG183" s="205" t="str">
        <f>IF(AG182="","",100*AG182*AQ183/BA184)</f>
        <v/>
      </c>
      <c r="AH183" s="206"/>
      <c r="AI183" s="207" t="str">
        <f>IF(BA184=0,"",IF(AI178="",AX184/SQRT(AT182^2+AT183^2),IF(AI186="","",IF(AT182&lt;0,-AX182*AQ179/SQRT(AT182^2+AT183^2),AX182*AQ179/SQRT(AT182^2+AT183^2)))))</f>
        <v/>
      </c>
      <c r="AJ183" s="203"/>
      <c r="AK183" s="204"/>
      <c r="AL183" s="125"/>
      <c r="AM183" s="59"/>
      <c r="AN183" s="107" t="b">
        <f>IF(BA182="","",IF(AND(BA182=1,F184=50,L182="油入自冷"),VLOOKUP(L184,変１,3,FALSE),IF(AND(BA182=1,F184=50,L182="モ－ルド絶縁"),VLOOKUP(L184,変１,8,FALSE),IF(AND(BA182=1,F184=60,L182="油入自冷"),VLOOKUP(L184,変１,13,FALSE),IF(AND(BA182=1,F184=60,L182="モ－ルド絶縁"),VLOOKUP(L184,変１,18,FALSE),FALSE)))))</f>
        <v>0</v>
      </c>
      <c r="AO183" s="107">
        <f>IF(ISNA(VLOOKUP(L184,変ＵＳＥＲ,3,FALSE)),0,VLOOKUP(L184,変ＵＳＥＲ,3,FALSE)*BA185/50)</f>
        <v>0</v>
      </c>
      <c r="AP183" s="108">
        <f>IF(W182="",0,W182*1000/BA184^2/SQRT(BA182))</f>
        <v>0</v>
      </c>
      <c r="AQ183" s="107">
        <f>IF(AND(BA182=1,BA183=2),1,IF(AND(BA182=3,BA183=3),1,IF(AND(BA182=1,BA183=3),2,IF(AND(BA182=3,BA183=4)*OR(BB182=1,BB183=1,BB184=1,BB185=1),1,SQRT(3)))))</f>
        <v>1.7320508075688772</v>
      </c>
      <c r="AR183" s="109" t="str">
        <f>IF(X182="","",IF(X182="600V IV",VLOOKUP(X184,ＩＶ,3,FALSE),IF(X182="600V CV-T",VLOOKUP(X184,ＣＶＴ,3,FALSE),IF(OR(X182="600V CV-1C",X182="600V CV-2C",X182="600V CV-3C",X182="600V CV-4C"),VLOOKUP(X184,ＣＶ２３Ｃ,3,FALSE),VLOOKUP(X184,ＣＵＳＥＲ,3,FALSE)))))</f>
        <v/>
      </c>
      <c r="AS183" s="107" t="str">
        <f>IF(AD185="",AP185,AP185+(AD185/1000))</f>
        <v/>
      </c>
      <c r="AT183" s="110" t="str">
        <f>IF(AU185="",AT185,AU185)</f>
        <v/>
      </c>
      <c r="AU183" s="110" t="str">
        <f>IF(D182="","",IF(AND(D186="",#REF!&lt;&gt;"",AV185=#REF!),#REF!,IF(AND(D186="",#REF!="",D190&lt;&gt;"",AV189=AV193),AT191,IF(AND(D186="",#REF!="",D190="",D194&lt;&gt;"",#REF!=AV197),AT195,IF(AND(D186="",#REF!="",D190="",D194="",D198&lt;&gt;"",AV193=AV201),AT199,IF(AND(D186="",#REF!="",D190="",D194="",D198="",D202&lt;&gt;"",AV197=AV205),AT203,IF(AND(D186="",#REF!="",D190="",D194="",D198="",D202="",D206&lt;&gt;"",AV201=AV209),AT207,"")))))))</f>
        <v/>
      </c>
      <c r="AV183" s="109" t="str">
        <f>IF(L182="発電機",IF(ISNA(VLOOKUP(L184,ＡＣＧ,3,FALSE)),0,VLOOKUP(L184,ＡＣＧ,3,FALSE)*BA185/50),"")</f>
        <v/>
      </c>
      <c r="AW183" s="111" t="str">
        <f>IF(AT183="","",(AT183-AP182*(AT182^2+AT183^2))/((AT182*AP182)^2+(AP182*AT183-1)^2))</f>
        <v/>
      </c>
      <c r="AX183" s="112"/>
      <c r="AY183" s="113">
        <f>IF(N(AY185)=10^30,10^30,IF(N(AY189)=10^30,(N(AY185)*(N(AY188)^2+N(AY189)^2)+N(AY189)*(N(AY184)^2+N(AY185)^2))/((N(AY184)+N(AY188))^2+(N(AY185)+N(AY189))^2),(N(AY185)*(N(AY186)^2+N(AY187)^2)+N(AY187)*(N(AY184)^2+N(AY185)^2))/((N(AY184)+N(AY186))^2+(N(AY185)+N(AY187))^2)))</f>
        <v>1E+30</v>
      </c>
      <c r="AZ183" s="52"/>
      <c r="BA183" s="114">
        <f>IF(AND(H182="",SUM(S182:S185)&lt;&gt;0),BA179,H182)</f>
        <v>0</v>
      </c>
      <c r="BB183" s="115">
        <f>IF(AND(BA182=3,S183&lt;&gt;""),1,0)</f>
        <v>0</v>
      </c>
      <c r="BC183" s="52"/>
      <c r="BD183" s="52"/>
      <c r="BH183" s="162"/>
      <c r="BI183" s="162"/>
      <c r="BJ183" s="4"/>
      <c r="BK183" s="4"/>
    </row>
    <row r="184" spans="1:63" ht="15" customHeight="1" x14ac:dyDescent="0.15">
      <c r="A184" s="159"/>
      <c r="B184" s="159"/>
      <c r="C184" s="245"/>
      <c r="D184" s="432"/>
      <c r="E184" s="448"/>
      <c r="F184" s="438"/>
      <c r="G184" s="438"/>
      <c r="H184" s="438"/>
      <c r="I184" s="438"/>
      <c r="J184" s="438"/>
      <c r="K184" s="439"/>
      <c r="L184" s="440"/>
      <c r="M184" s="441"/>
      <c r="N184" s="437"/>
      <c r="O184" s="171"/>
      <c r="P184" s="196"/>
      <c r="Q184" s="177"/>
      <c r="R184" s="173"/>
      <c r="S184" s="174" t="str">
        <f t="shared" si="8"/>
        <v/>
      </c>
      <c r="T184" s="175"/>
      <c r="U184" s="178" t="str">
        <f>IF(OR(BA184="",S184=""),"",S184*1000*T184/(SQRT(BA182)*BA184))</f>
        <v/>
      </c>
      <c r="V184" s="179" t="str">
        <f>IF(AND(N(U182)=0,N(U183)=0,N(U184)=0,N(U185)=0),"",V182*(P182*R182*T182+P183*R183*T183+P184*R184*T184+P185*R185*T185)/(P182*T182+P183*T183+P184*T184+P185*T185))</f>
        <v/>
      </c>
      <c r="W184" s="209" t="str">
        <f>IF(AND(N(AP184)=0,N(AP185)=0,N(AP183)=0),"",IF(AP185&gt;=0,COS(ATAN(AP185/AP184)),-COS(ATAN(AP185/AP184))))</f>
        <v/>
      </c>
      <c r="X184" s="180"/>
      <c r="Y184" s="181"/>
      <c r="Z184" s="182"/>
      <c r="AA184" s="183"/>
      <c r="AB184" s="184"/>
      <c r="AC184" s="181"/>
      <c r="AD184" s="182"/>
      <c r="AE184" s="185"/>
      <c r="AF184" s="136" t="str">
        <f>IF(OR(AF182="",AG178&lt;&gt;""),"",BA184/SQRT(AW184^2+AW185^2))</f>
        <v/>
      </c>
      <c r="AG184" s="205" t="str">
        <f>IF(AG182="","",100*((BA184/AQ183)-AG182)/(BA184/AQ183))</f>
        <v/>
      </c>
      <c r="AH184" s="206"/>
      <c r="AI184" s="208"/>
      <c r="AJ184" s="211"/>
      <c r="AK184" s="213"/>
      <c r="AL184" s="137"/>
      <c r="AM184" s="59"/>
      <c r="AN184" s="138" t="b">
        <f>IF(BA182="","",IF(AND(BA182=3,F184=50,L182="油入自冷"),VLOOKUP(L184,変３,2,FALSE),IF(AND(BA182=3,F184=50,L182="モ－ルド絶縁"),VLOOKUP(L184,変３,7,FALSE),IF(AND(BA182=3,F184=60,L182="油入自冷"),VLOOKUP(L184,変３,12,FALSE),IF(AND(BA182=3,F184=60,L182="モ－ルド絶縁"),VLOOKUP(L184,変３,17,FALSE),FALSE)))))</f>
        <v>0</v>
      </c>
      <c r="AO184" s="109" t="str">
        <f>IF(AND(L178="",N(AY182)&lt;10^29),AY182,"")</f>
        <v/>
      </c>
      <c r="AP184" s="139" t="str">
        <f>IF(V182="","",IF(AND(N(V184)=0,N(AP183)=0),"",AQ184/((AQ184*AP183)^2+(AP183*AQ185-1)^2)))</f>
        <v/>
      </c>
      <c r="AQ184" s="107">
        <f>IF(N(V184)=0,10^30,V184)</f>
        <v>1E+30</v>
      </c>
      <c r="AR184" s="109" t="str">
        <f>IF(AB182="","",IF(AB182="600V IV",VLOOKUP(AB184,ＩＶ,2,FALSE),IF(AB182="600V CV-T",VLOOKUP(AB184,ＣＶＴ,2,FALSE),IF(OR(AB182="600V CV-1C",AB182="600V CV-2C",AB182="600V CV-3C",AB182="600V CV-4C"),VLOOKUP(AB184,ＣＶ２３Ｃ,2,FALSE),VLOOKUP(AB184,ＣＵＳＥＲ,2,FALSE)))))</f>
        <v/>
      </c>
      <c r="AS184" s="107" t="str">
        <f>IF(OR(AND(AS186="",AS187=""),AND(D182="",D186&lt;&gt;"")),AS182,(AS182*(AT186^2+AT187^2)+AT186*(AS182^2+AS183^2))/((AS182+AT186)^2+(AS183+AT187)^2))</f>
        <v/>
      </c>
      <c r="AT184" s="110" t="str">
        <f>IF(X185="",AS184,N(AS184)+(X185/1000))</f>
        <v/>
      </c>
      <c r="AU184" s="110" t="str">
        <f>IF(AU182="","",(AT184*(AU182^2+AU183^2)+AU182*(AT184^2+AT185^2))/((AT184+AU182)^2+(AT185+AU183)^2))</f>
        <v/>
      </c>
      <c r="AV184" s="110">
        <f>IF(BA184=0,1,0)</f>
        <v>1</v>
      </c>
      <c r="AW184" s="111" t="str">
        <f>IF(AO184="","",AW182+AO184)</f>
        <v/>
      </c>
      <c r="AX184" s="112" t="str">
        <f>IF(AND(AX180="",AW184&lt;&gt;""),BA184*SQRT(AW182^2+AW183^2)/SQRT(AW184^2+AW185^2),IF(BA184&lt;&gt;0,AX180,""))</f>
        <v/>
      </c>
      <c r="AY184" s="140">
        <f>IF(L184="",10^30,SQRT(BA182)*(BA184^2)*(N(AN182)+N(AN184)+N(AO182)+N(AV182))/(100000*L184*M182))</f>
        <v>1E+30</v>
      </c>
      <c r="AZ184" s="141"/>
      <c r="BA184" s="114">
        <f>IF(AND(J182="",SUM(S182:S185)&lt;&gt;0),BA180,J182)</f>
        <v>0</v>
      </c>
      <c r="BB184" s="115">
        <f>IF(AND(BA182=3,S184&lt;&gt;""),1,0)</f>
        <v>0</v>
      </c>
      <c r="BC184" s="52"/>
      <c r="BD184" s="52"/>
      <c r="BH184" s="162"/>
      <c r="BI184" s="162"/>
      <c r="BJ184" s="4"/>
      <c r="BK184" s="4"/>
    </row>
    <row r="185" spans="1:63" ht="15" customHeight="1" x14ac:dyDescent="0.15">
      <c r="A185" s="159"/>
      <c r="B185" s="159"/>
      <c r="C185" s="245"/>
      <c r="D185" s="442"/>
      <c r="E185" s="449"/>
      <c r="F185" s="444"/>
      <c r="G185" s="444"/>
      <c r="H185" s="444"/>
      <c r="I185" s="444"/>
      <c r="J185" s="444"/>
      <c r="K185" s="445"/>
      <c r="L185" s="238" t="str">
        <f>IF(M182="","",L184*1000*M182/(SQRT(BA182)*BA184))</f>
        <v/>
      </c>
      <c r="M185" s="239"/>
      <c r="N185" s="446"/>
      <c r="O185" s="186"/>
      <c r="P185" s="197"/>
      <c r="Q185" s="187"/>
      <c r="R185" s="188"/>
      <c r="S185" s="189" t="str">
        <f t="shared" si="8"/>
        <v/>
      </c>
      <c r="T185" s="190"/>
      <c r="U185" s="191" t="str">
        <f>IF(OR(BA184="",S185=""),"",S185*1000*T185/(SQRT(BA182)*BA184))</f>
        <v/>
      </c>
      <c r="V185" s="192" t="str">
        <f>IF(AND(N(U182)=0,N(U183)=0,N(U184)=0,N(U185)=0),"",IF(V182&gt;=0,SQRT(ABS(V182^2-V184^2)),-SQRT(V182^2-V184^2)))</f>
        <v/>
      </c>
      <c r="W185" s="210"/>
      <c r="X185" s="215" t="str">
        <f>IF(Y184="","",AQ182*Z184*AR182*((1+0.00393*(F185-20))/1.2751)/Y184)</f>
        <v/>
      </c>
      <c r="Y185" s="216"/>
      <c r="Z185" s="217" t="str">
        <f>IF(Y184="","",(BA185/50)*AQ182*Z184*AR183/Y184)</f>
        <v/>
      </c>
      <c r="AA185" s="218"/>
      <c r="AB185" s="219" t="str">
        <f>IF(AC184="","",AQ182*AD184*AR184*((1+0.00393*(F185-20))/1.2751)/AC184)</f>
        <v/>
      </c>
      <c r="AC185" s="216"/>
      <c r="AD185" s="217" t="str">
        <f>IF(AC184="","",(BA185/50)*AQ182*AD184*AR185/AC184)</f>
        <v/>
      </c>
      <c r="AE185" s="242"/>
      <c r="AF185" s="150" t="str">
        <f>IF(AND(AX182&lt;&gt;"",D182=""),AX182,"")</f>
        <v/>
      </c>
      <c r="AG185" s="243" t="str">
        <f>IF(AP184="","",AP184)</f>
        <v/>
      </c>
      <c r="AH185" s="244"/>
      <c r="AI185" s="151" t="str">
        <f>IF(AP185="","",AP185)</f>
        <v/>
      </c>
      <c r="AJ185" s="212"/>
      <c r="AK185" s="214"/>
      <c r="AL185" s="152"/>
      <c r="AM185" s="59"/>
      <c r="AN185" s="153" t="b">
        <f>IF(BA182="","",IF(AND(BA182=3,F184=50,L182="油入自冷"),VLOOKUP(L184,変３,3,FALSE),IF(AND(BA182=3,F184=50,L182="モ－ルド絶縁"),VLOOKUP(L184,変３,8,FALSE),IF(AND(BA182=3,F184=60,L182="油入自冷"),VLOOKUP(L184,変３,13,FALSE),IF(AND(BA182=3,F184=60,L182="モ－ルド絶縁"),VLOOKUP(L184,変３,18,FALSE),FALSE)))))</f>
        <v>0</v>
      </c>
      <c r="AO185" s="153" t="str">
        <f>IF(AND(L178="",N(AY183)&lt;10^29),AY183,"")</f>
        <v/>
      </c>
      <c r="AP185" s="154" t="str">
        <f>IF(V182="","",IF(AND(N(V185)=0,N(AP183)=0),0,(AQ185-AP183*(AQ184^2+AQ185^2))/((AQ184*AP183)^2+(AP183*AQ185-1)^2)))</f>
        <v/>
      </c>
      <c r="AQ185" s="155">
        <f>IF(N(V185)=0,10^30,V185)</f>
        <v>1E+30</v>
      </c>
      <c r="AR185" s="153" t="str">
        <f>IF(AB182="","",IF(AB182="600V IV",VLOOKUP(AB184,ＩＶ,3,FALSE),IF(AB182="600V CV-T",VLOOKUP(AB184,ＣＶＴ,3,FALSE),IF(OR(AB182="600V CV-1C",AB182="600V CV-2C",AB182="600V CV-3C",AB182="600V CV-4C"),VLOOKUP(AB184,ＣＶ２３Ｃ,3,FALSE),VLOOKUP(AB184,ＣＵＳＥＲ,3,FALSE)))))</f>
        <v/>
      </c>
      <c r="AS185" s="155" t="str">
        <f>IF(OR(AND(AS186="",AS187=""),AND(D182="",D186&lt;&gt;"")),AS183,(AS183*(AT186^2+AT187^2)+AT187*(AS182^2+AS183^2))/((AS182+AT186)^2+(AS183+AT187)^2))</f>
        <v/>
      </c>
      <c r="AT185" s="156" t="str">
        <f>IF(Z185="",AS185,N(AS185)+(Z185/1000))</f>
        <v/>
      </c>
      <c r="AU185" s="156" t="str">
        <f>IF(AU183="","",(AT185*(AU182^2+AU183^2)+AU183*(AT184^2+AT185^2))/((AT184+AU182)^2+(AT185+AU183)^2))</f>
        <v/>
      </c>
      <c r="AV185" s="156">
        <f>AV181+AV184</f>
        <v>9</v>
      </c>
      <c r="AW185" s="155" t="str">
        <f>IF(AO185="","",AW183+AO185)</f>
        <v/>
      </c>
      <c r="AX185" s="157"/>
      <c r="AY185" s="140">
        <f>IF(L184="",10^30,SQRT(BA182)*(BA184^2)*(N(AN183)+N(AN185)+N(AO183)+N(AV183))/(100000*L184*M182))</f>
        <v>1E+30</v>
      </c>
      <c r="AZ185" s="141"/>
      <c r="BA185" s="114">
        <f>IF(AND(F184="",SUM(S182:S185)&lt;&gt;0),BA181,F184)</f>
        <v>0</v>
      </c>
      <c r="BB185" s="115">
        <f>IF(AND(BA182=3,S185&lt;&gt;""),1,0)</f>
        <v>0</v>
      </c>
      <c r="BC185" s="52"/>
      <c r="BD185" s="52"/>
      <c r="BH185" s="162"/>
      <c r="BI185" s="162"/>
      <c r="BJ185" s="4"/>
      <c r="BK185" s="4"/>
    </row>
    <row r="186" spans="1:63" ht="15" customHeight="1" x14ac:dyDescent="0.15">
      <c r="A186" s="159"/>
      <c r="B186" s="159"/>
      <c r="C186" s="245" t="str">
        <f>IF(BH186=1,"●","・")</f>
        <v>・</v>
      </c>
      <c r="D186" s="425"/>
      <c r="E186" s="447"/>
      <c r="F186" s="427"/>
      <c r="G186" s="240" t="str">
        <f>IF(F186="","","φ")</f>
        <v/>
      </c>
      <c r="H186" s="428"/>
      <c r="I186" s="240" t="str">
        <f>IF(H186="","","W")</f>
        <v/>
      </c>
      <c r="J186" s="428"/>
      <c r="K186" s="246" t="str">
        <f>IF(J186="","","V")</f>
        <v/>
      </c>
      <c r="L186" s="429"/>
      <c r="M186" s="430"/>
      <c r="N186" s="431"/>
      <c r="O186" s="164"/>
      <c r="P186" s="194"/>
      <c r="Q186" s="165"/>
      <c r="R186" s="166"/>
      <c r="S186" s="167" t="str">
        <f>IF(R186="","",IF(Q186="",P186/R186,P186/(Q186*R186)))</f>
        <v/>
      </c>
      <c r="T186" s="168"/>
      <c r="U186" s="169" t="str">
        <f>IF(OR(BA188="",S186=""),"",S186*1000*T186/(SQRT(BA186)*BA188))</f>
        <v/>
      </c>
      <c r="V186" s="236" t="str">
        <f>IF(AND(N(U186)=0,N(U187)=0,N(U188)=0,N(U189)=0),"",BA188/(SUM(U186:U189)))</f>
        <v/>
      </c>
      <c r="W186" s="220"/>
      <c r="X186" s="222"/>
      <c r="Y186" s="223"/>
      <c r="Z186" s="224"/>
      <c r="AA186" s="228"/>
      <c r="AB186" s="230"/>
      <c r="AC186" s="223"/>
      <c r="AD186" s="224"/>
      <c r="AE186" s="232"/>
      <c r="AF186" s="104" t="str">
        <f>IF(OR(AND(AF182="",N(BA184)=0,BA188&lt;&gt;0),D186&lt;&gt;""),AX188/AQ187,"")</f>
        <v/>
      </c>
      <c r="AG186" s="234" t="str">
        <f>IF(BA188=0,"",IF(AD188="",AX186,IF(AND(D186&lt;&gt;"",AU186=""),AX188*SQRT(AP188^2+AP189^2)/SQRT(AS186^2+AS187^2)/AQ187,AX186*SQRT(AP188^2+AP189^2)/SQRT(AS186^2+AS187^2))))</f>
        <v/>
      </c>
      <c r="AH186" s="235"/>
      <c r="AI186" s="105" t="str">
        <f>IF(AG186="","",IF(N(U186)&lt;0,-AX186*AQ187/SQRT(AS186^2+AS187^2),AX186*AQ187/SQRT(AS186^2+AS187^2)))</f>
        <v/>
      </c>
      <c r="AJ186" s="201"/>
      <c r="AK186" s="202"/>
      <c r="AL186" s="106"/>
      <c r="AM186" s="59"/>
      <c r="AN186" s="107" t="b">
        <f>IF(BA186="","",IF(AND(BA186=1,F188=50,L186="油入自冷"),VLOOKUP(L188,変１,2,FALSE),IF(AND(BA186=1,F188=50,L186="モ－ルド絶縁"),VLOOKUP(L188,変１,7,FALSE),IF(AND(BA186=1,F188=60,L186="油入自冷"),VLOOKUP(L188,変１,12,FALSE),IF(AND(BA186=1,F188=60,L186="モ－ルド絶縁"),VLOOKUP(L188,変１,17,FALSE),FALSE)))))</f>
        <v>0</v>
      </c>
      <c r="AO186" s="107">
        <f>IF(ISNA(VLOOKUP(L188,変ＵＳＥＲ,2,FALSE)),0,VLOOKUP(L188,変ＵＳＥＲ,2,FALSE))</f>
        <v>0</v>
      </c>
      <c r="AP186" s="108">
        <f>IF(N186="",0,N186*1000/BA188^2/SQRT(BA186))</f>
        <v>0</v>
      </c>
      <c r="AQ186" s="107" t="b">
        <f>IF(BA186=1,2,IF(BA186=3,SQRT(3),FALSE))</f>
        <v>0</v>
      </c>
      <c r="AR186" s="109" t="str">
        <f>IF(X186="","",IF(X186="600V IV",VLOOKUP(X188,ＩＶ,2,FALSE),IF(X186="600V CV-T",VLOOKUP(X188,ＣＶＴ,2,FALSE),IF(OR(X186="600V CV-1C",X186="600V CV-2C",X186="600V CV-3C",X186="600V CV-4C"),VLOOKUP(X188,ＣＶ２３Ｃ,2,FALSE),VLOOKUP(X188,ＣＵＳＥＲ,2,FALSE)))))</f>
        <v/>
      </c>
      <c r="AS186" s="107" t="str">
        <f>IF(AB189="",AP188,AP188+(AB189/1000))</f>
        <v/>
      </c>
      <c r="AT186" s="110" t="e">
        <f>IF(AU188="",AT188,AU188)</f>
        <v>#REF!</v>
      </c>
      <c r="AU186" s="110" t="str">
        <f>IF(D186="","",IF(AND(#REF!="",D190&lt;&gt;"",AV189=AV193),AT190,IF(AND(#REF!="",D190="",D194&lt;&gt;"",#REF!=AV197),AT194,IF(AND(#REF!="",D190="",D194="",D198&lt;&gt;"",AV193=AV201),AT198,IF(AND(#REF!="",D190="",D194="",D198="",D202&lt;&gt;"",AV197=AV205),AT202,IF(AND(#REF!="",D190="",D194="",D198="",D202="",D206&lt;&gt;"",AV201=AV209),AT206,IF(AND(#REF!="",D190="",D194="",D198="",D202="",D206="",D210&lt;&gt;"",AV205=AV213),AT210,"")))))))</f>
        <v/>
      </c>
      <c r="AV186" s="110" t="str">
        <f>IF(L186="発電機",IF(ISNA(VLOOKUP(L188,ＡＣＧ,2,FALSE)),0,VLOOKUP(L188,ＡＣＧ,2,FALSE)),"")</f>
        <v/>
      </c>
      <c r="AW186" s="111" t="e">
        <f>IF(AT186="","",AT186/((AT186*AP186)^2+(AT187*AP186-1)^2))</f>
        <v>#REF!</v>
      </c>
      <c r="AX186" s="112" t="str">
        <f>IF(BA188=0,"",IF(OR(AX182="",AF186&lt;&gt;""),AF186*SQRT(AS188^2+AS189^2)/SQRT(AT188^2+AT189^2),AX182*SQRT(AS188^2+AS189^2)/SQRT(AT188^2+AT189^2)))</f>
        <v/>
      </c>
      <c r="AY186" s="113">
        <f>IF(N(AY188)=10^30,10^30,IF(N(#REF!)=10^30,(N(AY188)*(N(#REF!)^2+N(#REF!)^2)+N(#REF!)*(N(AY188)^2+N(AY189)^2))/((N(AY188)+N(#REF!))^2+(N(AY189)+N(#REF!))^2),(N(AY188)*(N(#REF!)^2+N(#REF!)^2)+N(#REF!)*(N(AY188)^2+N(AY189)^2))/((N(AY188)+N(#REF!))^2+(N(AY189)+N(#REF!))^2)))</f>
        <v>1E+30</v>
      </c>
      <c r="AZ186" s="52"/>
      <c r="BA186" s="114">
        <f>IF(AND(F186="",SUM(S186:S189)&lt;&gt;0),BA182,F186)</f>
        <v>0</v>
      </c>
      <c r="BB186" s="115">
        <f>IF(AND(BA186=3,S186&lt;&gt;""),1,0)</f>
        <v>0</v>
      </c>
      <c r="BC186" s="52"/>
      <c r="BD186" s="52"/>
      <c r="BH186" s="162">
        <f>IF(OR(E186="",F189="",AND(OR(P186="",Q186="",R186="",T186=""),OR(P187="",Q187="",R187="",T187=""),OR(P188="",Q188="",R188="",T188=""),OR(P189="",Q189="",R189="",T189="")),AND(OR(X186="",X188="",Y188="",Z188=""),OR(AB186="",AB188="",AC188="",AD188=""))),0,1)</f>
        <v>0</v>
      </c>
      <c r="BI186" s="162">
        <f>BH186+BI182</f>
        <v>4</v>
      </c>
      <c r="BJ186" s="4"/>
      <c r="BK186" s="4"/>
    </row>
    <row r="187" spans="1:63" ht="15" customHeight="1" x14ac:dyDescent="0.15">
      <c r="A187" s="159"/>
      <c r="B187" s="159"/>
      <c r="C187" s="245"/>
      <c r="D187" s="432"/>
      <c r="E187" s="448"/>
      <c r="F187" s="434"/>
      <c r="G187" s="241"/>
      <c r="H187" s="435"/>
      <c r="I187" s="241"/>
      <c r="J187" s="435"/>
      <c r="K187" s="247"/>
      <c r="L187" s="436"/>
      <c r="M187" s="170" t="str">
        <f>IF(L186="発電機",SQRT(AV186^2+AV187^2),IF(L188="","",IF(OR(L186="油入自冷",L186="モ－ルド絶縁"),IF(BA186=1,SQRT(AN186^2+AN187^2),IF(BA186=3,SQRT(AN188^2+AN189^2))),SQRT(AO186^2+AO187^2))))</f>
        <v/>
      </c>
      <c r="N187" s="437"/>
      <c r="O187" s="171"/>
      <c r="P187" s="195"/>
      <c r="Q187" s="172"/>
      <c r="R187" s="173"/>
      <c r="S187" s="174" t="str">
        <f t="shared" si="8"/>
        <v/>
      </c>
      <c r="T187" s="175"/>
      <c r="U187" s="176" t="str">
        <f>IF(OR(BA188="",S187=""),"",S187*1000*T187/(SQRT(BA186)*BA188))</f>
        <v/>
      </c>
      <c r="V187" s="237"/>
      <c r="W187" s="221"/>
      <c r="X187" s="225"/>
      <c r="Y187" s="226"/>
      <c r="Z187" s="227"/>
      <c r="AA187" s="229"/>
      <c r="AB187" s="231"/>
      <c r="AC187" s="226"/>
      <c r="AD187" s="227"/>
      <c r="AE187" s="233"/>
      <c r="AF187" s="124" t="str">
        <f>IF(OR(AF186="",AG182&lt;&gt;""),"",AF186*AQ187/SQRT(AT186^2+AT187^2))</f>
        <v/>
      </c>
      <c r="AG187" s="205" t="str">
        <f>IF(AG186="","",100*AG186*AQ187/BA188)</f>
        <v/>
      </c>
      <c r="AH187" s="206"/>
      <c r="AI187" s="207" t="str">
        <f>IF(BA188=0,"",IF(AI182="",AX188/SQRT(AT186^2+AT187^2),IF(#REF!="","",IF(AT186&lt;0,-AX186*AQ183/SQRT(AT186^2+AT187^2),AX186*AQ183/SQRT(AT186^2+AT187^2)))))</f>
        <v/>
      </c>
      <c r="AJ187" s="203"/>
      <c r="AK187" s="204"/>
      <c r="AL187" s="125"/>
      <c r="AM187" s="59"/>
      <c r="AN187" s="107" t="b">
        <f>IF(BA186="","",IF(AND(BA186=1,F188=50,L186="油入自冷"),VLOOKUP(L188,変１,3,FALSE),IF(AND(BA186=1,F188=50,L186="モ－ルド絶縁"),VLOOKUP(L188,変１,8,FALSE),IF(AND(BA186=1,F188=60,L186="油入自冷"),VLOOKUP(L188,変１,13,FALSE),IF(AND(BA186=1,F188=60,L186="モ－ルド絶縁"),VLOOKUP(L188,変１,18,FALSE),FALSE)))))</f>
        <v>0</v>
      </c>
      <c r="AO187" s="107">
        <f>IF(ISNA(VLOOKUP(L188,変ＵＳＥＲ,3,FALSE)),0,VLOOKUP(L188,変ＵＳＥＲ,3,FALSE)*BA189/50)</f>
        <v>0</v>
      </c>
      <c r="AP187" s="108">
        <f>IF(W186="",0,W186*1000/BA188^2/SQRT(BA186))</f>
        <v>0</v>
      </c>
      <c r="AQ187" s="107">
        <f>IF(AND(BA186=1,BA187=2),1,IF(AND(BA186=3,BA187=3),1,IF(AND(BA186=1,BA187=3),2,IF(AND(BA186=3,BA187=4)*OR(BB186=1,BB187=1,BB188=1,BB189=1),1,SQRT(3)))))</f>
        <v>1.7320508075688772</v>
      </c>
      <c r="AR187" s="109" t="str">
        <f>IF(X186="","",IF(X186="600V IV",VLOOKUP(X188,ＩＶ,3,FALSE),IF(X186="600V CV-T",VLOOKUP(X188,ＣＶＴ,3,FALSE),IF(OR(X186="600V CV-1C",X186="600V CV-2C",X186="600V CV-3C",X186="600V CV-4C"),VLOOKUP(X188,ＣＶ２３Ｃ,3,FALSE),VLOOKUP(X188,ＣＵＳＥＲ,3,FALSE)))))</f>
        <v/>
      </c>
      <c r="AS187" s="107" t="str">
        <f>IF(AD189="",AP189,AP189+(AD189/1000))</f>
        <v/>
      </c>
      <c r="AT187" s="110" t="e">
        <f>IF(AU189="",AT189,AU189)</f>
        <v>#REF!</v>
      </c>
      <c r="AU187" s="110" t="str">
        <f>IF(D186="","",IF(AND(#REF!="",D190&lt;&gt;"",AV189=AV193),AT191,IF(AND(#REF!="",D190="",D194&lt;&gt;"",#REF!=AV197),AT195,IF(AND(#REF!="",D190="",D194="",D198&lt;&gt;"",AV193=AV201),AT199,IF(AND(#REF!="",D190="",D194="",D198="",D202&lt;&gt;"",AV197=AV205),AT203,IF(AND(#REF!="",D190="",D194="",D198="",D202="",D206&lt;&gt;"",AV201=AV209),AT207,IF(AND(#REF!="",D190="",D194="",D198="",D202="",D206="",D210&lt;&gt;"",AV205=AV213),AT211,"")))))))</f>
        <v/>
      </c>
      <c r="AV187" s="109" t="str">
        <f>IF(L186="発電機",IF(ISNA(VLOOKUP(L188,ＡＣＧ,3,FALSE)),0,VLOOKUP(L188,ＡＣＧ,3,FALSE)*BA189/50),"")</f>
        <v/>
      </c>
      <c r="AW187" s="111" t="e">
        <f>IF(AT187="","",(AT187-AP186*(AT186^2+AT187^2))/((AT186*AP186)^2+(AP186*AT187-1)^2))</f>
        <v>#REF!</v>
      </c>
      <c r="AX187" s="112"/>
      <c r="AY187" s="113">
        <f>IF(N(AY189)=10^30,10^30,IF(N(#REF!)=10^30,(N(AY189)*(N(#REF!)^2+N(#REF!)^2)+N(#REF!)*(N(AY188)^2+N(AY189)^2))/((N(AY188)+N(#REF!))^2+(N(AY189)+N(#REF!))^2),(N(AY189)*(N(#REF!)^2+N(#REF!)^2)+N(#REF!)*(N(AY188)^2+N(AY189)^2))/((N(AY188)+N(#REF!))^2+(N(AY189)+N(#REF!))^2)))</f>
        <v>1E+30</v>
      </c>
      <c r="AZ187" s="52"/>
      <c r="BA187" s="114">
        <f>IF(AND(H186="",SUM(S186:S189)&lt;&gt;0),BA183,H186)</f>
        <v>0</v>
      </c>
      <c r="BB187" s="115">
        <f>IF(AND(BA186=3,S187&lt;&gt;""),1,0)</f>
        <v>0</v>
      </c>
      <c r="BC187" s="52"/>
      <c r="BD187" s="52"/>
      <c r="BH187" s="162"/>
      <c r="BI187" s="162"/>
      <c r="BJ187" s="4"/>
      <c r="BK187" s="4"/>
    </row>
    <row r="188" spans="1:63" ht="15" customHeight="1" x14ac:dyDescent="0.15">
      <c r="A188" s="159"/>
      <c r="B188" s="159"/>
      <c r="C188" s="245"/>
      <c r="D188" s="432"/>
      <c r="E188" s="448"/>
      <c r="F188" s="438"/>
      <c r="G188" s="438"/>
      <c r="H188" s="438"/>
      <c r="I188" s="438"/>
      <c r="J188" s="438"/>
      <c r="K188" s="439"/>
      <c r="L188" s="440"/>
      <c r="M188" s="441"/>
      <c r="N188" s="437"/>
      <c r="O188" s="171"/>
      <c r="P188" s="196"/>
      <c r="Q188" s="177"/>
      <c r="R188" s="173"/>
      <c r="S188" s="174" t="str">
        <f t="shared" si="8"/>
        <v/>
      </c>
      <c r="T188" s="175"/>
      <c r="U188" s="178" t="str">
        <f>IF(OR(BA188="",S188=""),"",S188*1000*T188/(SQRT(BA186)*BA188))</f>
        <v/>
      </c>
      <c r="V188" s="179" t="str">
        <f>IF(AND(N(U186)=0,N(U187)=0,N(U188)=0,N(U189)=0),"",V186*(P186*R186*T186+P187*R187*T187+P188*R188*T188+P189*R189*T189)/(P186*T186+P187*T187+P188*T188+P189*T189))</f>
        <v/>
      </c>
      <c r="W188" s="209" t="str">
        <f>IF(AND(N(AP188)=0,N(AP189)=0,N(AP187)=0),"",IF(AP189&gt;=0,COS(ATAN(AP189/AP188)),-COS(ATAN(AP189/AP188))))</f>
        <v/>
      </c>
      <c r="X188" s="180"/>
      <c r="Y188" s="181"/>
      <c r="Z188" s="182"/>
      <c r="AA188" s="183"/>
      <c r="AB188" s="184"/>
      <c r="AC188" s="181"/>
      <c r="AD188" s="182"/>
      <c r="AE188" s="185"/>
      <c r="AF188" s="136" t="str">
        <f>IF(OR(AF186="",AG182&lt;&gt;""),"",BA188/SQRT(AW188^2+AW189^2))</f>
        <v/>
      </c>
      <c r="AG188" s="205" t="str">
        <f>IF(AG186="","",100*((BA188/AQ187)-AG186)/(BA188/AQ187))</f>
        <v/>
      </c>
      <c r="AH188" s="206"/>
      <c r="AI188" s="208"/>
      <c r="AJ188" s="211"/>
      <c r="AK188" s="213"/>
      <c r="AL188" s="137"/>
      <c r="AM188" s="59"/>
      <c r="AN188" s="138" t="b">
        <f>IF(BA186="","",IF(AND(BA186=3,F188=50,L186="油入自冷"),VLOOKUP(L188,変３,2,FALSE),IF(AND(BA186=3,F188=50,L186="モ－ルド絶縁"),VLOOKUP(L188,変３,7,FALSE),IF(AND(BA186=3,F188=60,L186="油入自冷"),VLOOKUP(L188,変３,12,FALSE),IF(AND(BA186=3,F188=60,L186="モ－ルド絶縁"),VLOOKUP(L188,変３,17,FALSE),FALSE)))))</f>
        <v>0</v>
      </c>
      <c r="AO188" s="109" t="str">
        <f>IF(AND(L182="",N(AY186)&lt;10^29),AY186,"")</f>
        <v/>
      </c>
      <c r="AP188" s="139" t="str">
        <f>IF(V186="","",IF(AND(N(V188)=0,N(AP187)=0),"",AQ188/((AQ188*AP187)^2+(AP187*AQ189-1)^2)))</f>
        <v/>
      </c>
      <c r="AQ188" s="107">
        <f>IF(N(V188)=0,10^30,V188)</f>
        <v>1E+30</v>
      </c>
      <c r="AR188" s="109" t="str">
        <f>IF(AB186="","",IF(AB186="600V IV",VLOOKUP(AB188,ＩＶ,2,FALSE),IF(AB186="600V CV-T",VLOOKUP(AB188,ＣＶＴ,2,FALSE),IF(OR(AB186="600V CV-1C",AB186="600V CV-2C",AB186="600V CV-3C",AB186="600V CV-4C"),VLOOKUP(AB188,ＣＶ２３Ｃ,2,FALSE),VLOOKUP(AB188,ＣＵＳＥＲ,2,FALSE)))))</f>
        <v/>
      </c>
      <c r="AS188" s="107" t="e">
        <f>IF(OR(AND(#REF!="",#REF!=""),AND(D186="",#REF!&lt;&gt;"")),AS186,(AS186*(#REF!^2+#REF!^2)+#REF!*(AS186^2+AS187^2))/((AS186+#REF!)^2+(AS187+#REF!)^2))</f>
        <v>#REF!</v>
      </c>
      <c r="AT188" s="110" t="e">
        <f>IF(X189="",AS188,N(AS188)+(X189/1000))</f>
        <v>#REF!</v>
      </c>
      <c r="AU188" s="110" t="str">
        <f>IF(AU186="","",(AT188*(AU186^2+AU187^2)+AU186*(AT188^2+AT189^2))/((AT188+AU186)^2+(AT189+AU187)^2))</f>
        <v/>
      </c>
      <c r="AV188" s="110">
        <f>IF(BA188=0,1,0)</f>
        <v>1</v>
      </c>
      <c r="AW188" s="111" t="str">
        <f>IF(AO188="","",AW186+AO188)</f>
        <v/>
      </c>
      <c r="AX188" s="112" t="str">
        <f>IF(AND(AX184="",AW188&lt;&gt;""),BA188*SQRT(AW186^2+AW187^2)/SQRT(AW188^2+AW189^2),IF(BA188&lt;&gt;0,AX184,""))</f>
        <v/>
      </c>
      <c r="AY188" s="140">
        <f>IF(L188="",10^30,SQRT(BA186)*(BA188^2)*(N(AN186)+N(AN188)+N(AO186)+N(AV186))/(100000*L188*M186))</f>
        <v>1E+30</v>
      </c>
      <c r="AZ188" s="141"/>
      <c r="BA188" s="114">
        <f>IF(AND(J186="",SUM(S186:S189)&lt;&gt;0),BA184,J186)</f>
        <v>0</v>
      </c>
      <c r="BB188" s="115">
        <f>IF(AND(BA186=3,S188&lt;&gt;""),1,0)</f>
        <v>0</v>
      </c>
      <c r="BC188" s="52"/>
      <c r="BD188" s="52"/>
      <c r="BH188" s="162"/>
      <c r="BI188" s="162"/>
      <c r="BJ188" s="4"/>
      <c r="BK188" s="4"/>
    </row>
    <row r="189" spans="1:63" ht="15" customHeight="1" x14ac:dyDescent="0.15">
      <c r="A189" s="159"/>
      <c r="B189" s="159"/>
      <c r="C189" s="245"/>
      <c r="D189" s="442"/>
      <c r="E189" s="449"/>
      <c r="F189" s="444"/>
      <c r="G189" s="444"/>
      <c r="H189" s="444"/>
      <c r="I189" s="444"/>
      <c r="J189" s="444"/>
      <c r="K189" s="445"/>
      <c r="L189" s="238" t="str">
        <f>IF(M186="","",L188*1000*M186/(SQRT(BA186)*BA188))</f>
        <v/>
      </c>
      <c r="M189" s="239"/>
      <c r="N189" s="446"/>
      <c r="O189" s="186"/>
      <c r="P189" s="197"/>
      <c r="Q189" s="187"/>
      <c r="R189" s="188"/>
      <c r="S189" s="189" t="str">
        <f t="shared" si="8"/>
        <v/>
      </c>
      <c r="T189" s="190"/>
      <c r="U189" s="191" t="str">
        <f>IF(OR(BA188="",S189=""),"",S189*1000*T189/(SQRT(BA186)*BA188))</f>
        <v/>
      </c>
      <c r="V189" s="192" t="str">
        <f>IF(AND(N(U186)=0,N(U187)=0,N(U188)=0,N(U189)=0),"",IF(V186&gt;=0,SQRT(ABS(V186^2-V188^2)),-SQRT(V186^2-V188^2)))</f>
        <v/>
      </c>
      <c r="W189" s="210"/>
      <c r="X189" s="215" t="str">
        <f>IF(Y188="","",AQ186*Z188*AR186*((1+0.00393*(F189-20))/1.2751)/Y188)</f>
        <v/>
      </c>
      <c r="Y189" s="216"/>
      <c r="Z189" s="217" t="str">
        <f>IF(Y188="","",(BA189/50)*AQ186*Z188*AR187/Y188)</f>
        <v/>
      </c>
      <c r="AA189" s="218"/>
      <c r="AB189" s="219" t="str">
        <f>IF(AC188="","",AQ186*AD188*AR188*((1+0.00393*(F189-20))/1.2751)/AC188)</f>
        <v/>
      </c>
      <c r="AC189" s="216"/>
      <c r="AD189" s="217" t="str">
        <f>IF(AC188="","",(BA189/50)*AQ186*AD188*AR189/AC188)</f>
        <v/>
      </c>
      <c r="AE189" s="242"/>
      <c r="AF189" s="150" t="str">
        <f>IF(AND(AX186&lt;&gt;"",D186=""),AX186,"")</f>
        <v/>
      </c>
      <c r="AG189" s="243" t="str">
        <f>IF(AP188="","",AP188)</f>
        <v/>
      </c>
      <c r="AH189" s="244"/>
      <c r="AI189" s="151" t="str">
        <f>IF(AP189="","",AP189)</f>
        <v/>
      </c>
      <c r="AJ189" s="212"/>
      <c r="AK189" s="214"/>
      <c r="AL189" s="152"/>
      <c r="AM189" s="59"/>
      <c r="AN189" s="153" t="b">
        <f>IF(BA186="","",IF(AND(BA186=3,F188=50,L186="油入自冷"),VLOOKUP(L188,変３,3,FALSE),IF(AND(BA186=3,F188=50,L186="モ－ルド絶縁"),VLOOKUP(L188,変３,8,FALSE),IF(AND(BA186=3,F188=60,L186="油入自冷"),VLOOKUP(L188,変３,13,FALSE),IF(AND(BA186=3,F188=60,L186="モ－ルド絶縁"),VLOOKUP(L188,変３,18,FALSE),FALSE)))))</f>
        <v>0</v>
      </c>
      <c r="AO189" s="153" t="str">
        <f>IF(AND(L182="",N(AY187)&lt;10^29),AY187,"")</f>
        <v/>
      </c>
      <c r="AP189" s="154" t="str">
        <f>IF(V186="","",IF(AND(N(V189)=0,N(AP187)=0),0,(AQ189-AP187*(AQ188^2+AQ189^2))/((AQ188*AP187)^2+(AP187*AQ189-1)^2)))</f>
        <v/>
      </c>
      <c r="AQ189" s="155">
        <f>IF(N(V189)=0,10^30,V189)</f>
        <v>1E+30</v>
      </c>
      <c r="AR189" s="153" t="str">
        <f>IF(AB186="","",IF(AB186="600V IV",VLOOKUP(AB188,ＩＶ,3,FALSE),IF(AB186="600V CV-T",VLOOKUP(AB188,ＣＶＴ,3,FALSE),IF(OR(AB186="600V CV-1C",AB186="600V CV-2C",AB186="600V CV-3C",AB186="600V CV-4C"),VLOOKUP(AB188,ＣＶ２３Ｃ,3,FALSE),VLOOKUP(AB188,ＣＵＳＥＲ,3,FALSE)))))</f>
        <v/>
      </c>
      <c r="AS189" s="155" t="e">
        <f>IF(OR(AND(#REF!="",#REF!=""),AND(D186="",#REF!&lt;&gt;"")),AS187,(AS187*(#REF!^2+#REF!^2)+#REF!*(AS186^2+AS187^2))/((AS186+#REF!)^2+(AS187+#REF!)^2))</f>
        <v>#REF!</v>
      </c>
      <c r="AT189" s="156" t="e">
        <f>IF(Z189="",AS189,N(AS189)+(Z189/1000))</f>
        <v>#REF!</v>
      </c>
      <c r="AU189" s="156" t="str">
        <f>IF(AU187="","",(AT189*(AU186^2+AU187^2)+AU187*(AT188^2+AT189^2))/((AT188+AU186)^2+(AT189+AU187)^2))</f>
        <v/>
      </c>
      <c r="AV189" s="156">
        <f>AV185+AV188</f>
        <v>10</v>
      </c>
      <c r="AW189" s="155" t="str">
        <f>IF(AO189="","",AW187+AO189)</f>
        <v/>
      </c>
      <c r="AX189" s="157"/>
      <c r="AY189" s="140">
        <f>IF(L188="",10^30,SQRT(BA186)*(BA188^2)*(N(AN187)+N(AN189)+N(AO187)+N(AV187))/(100000*L188*M186))</f>
        <v>1E+30</v>
      </c>
      <c r="AZ189" s="141"/>
      <c r="BA189" s="114">
        <f>IF(AND(F188="",SUM(S186:S189)&lt;&gt;0),BA185,F188)</f>
        <v>0</v>
      </c>
      <c r="BB189" s="115">
        <f>IF(AND(BA186=3,S189&lt;&gt;""),1,0)</f>
        <v>0</v>
      </c>
      <c r="BC189" s="52"/>
      <c r="BD189" s="52"/>
      <c r="BH189" s="162"/>
      <c r="BI189" s="162"/>
      <c r="BJ189" s="4"/>
      <c r="BK189" s="4"/>
    </row>
    <row r="190" spans="1:63" ht="15" customHeight="1" thickBot="1" x14ac:dyDescent="0.2">
      <c r="A190" s="159"/>
      <c r="B190" s="159"/>
      <c r="C190" s="245" t="str">
        <f>IF(BH190=1,"●","・")</f>
        <v>・</v>
      </c>
      <c r="D190" s="425"/>
      <c r="E190" s="447"/>
      <c r="F190" s="427"/>
      <c r="G190" s="240" t="str">
        <f>IF(F190="","","φ")</f>
        <v/>
      </c>
      <c r="H190" s="428"/>
      <c r="I190" s="240" t="str">
        <f>IF(H190="","","W")</f>
        <v/>
      </c>
      <c r="J190" s="428"/>
      <c r="K190" s="246" t="str">
        <f>IF(J190="","","V")</f>
        <v/>
      </c>
      <c r="L190" s="429"/>
      <c r="M190" s="430"/>
      <c r="N190" s="431"/>
      <c r="O190" s="164"/>
      <c r="P190" s="194"/>
      <c r="Q190" s="165"/>
      <c r="R190" s="166"/>
      <c r="S190" s="167" t="str">
        <f>IF(R190="","",IF(Q190="",P190/R190,P190/(Q190*R190)))</f>
        <v/>
      </c>
      <c r="T190" s="168"/>
      <c r="U190" s="169" t="str">
        <f>IF(OR(BA192="",S190=""),"",S190*1000*T190/(SQRT(BA190)*BA192))</f>
        <v/>
      </c>
      <c r="V190" s="236" t="str">
        <f>IF(AND(N(U190)=0,N(U191)=0,N(U192)=0,N(U193)=0),"",BA192/(SUM(U190:U193)))</f>
        <v/>
      </c>
      <c r="W190" s="220"/>
      <c r="X190" s="222"/>
      <c r="Y190" s="223"/>
      <c r="Z190" s="224"/>
      <c r="AA190" s="228"/>
      <c r="AB190" s="230"/>
      <c r="AC190" s="223"/>
      <c r="AD190" s="224"/>
      <c r="AE190" s="232"/>
      <c r="AF190" s="104" t="str">
        <f>IF(OR(AND(AF186="",N(BA188)=0,BA192&lt;&gt;0),D190&lt;&gt;""),AX192/AQ191,"")</f>
        <v/>
      </c>
      <c r="AG190" s="234" t="str">
        <f>IF(BA192=0,"",IF(AD192="",AX190,IF(AND(D190&lt;&gt;"",AU190=""),AX192*SQRT(AP192^2+AP193^2)/SQRT(AS190^2+AS191^2)/AQ191,AX190*SQRT(AP192^2+AP193^2)/SQRT(AS190^2+AS191^2))))</f>
        <v/>
      </c>
      <c r="AH190" s="235"/>
      <c r="AI190" s="105" t="str">
        <f>IF(AG190="","",IF(N(U190)&lt;0,-AX190*AQ191/SQRT(AS190^2+AS191^2),AX190*AQ191/SQRT(AS190^2+AS191^2)))</f>
        <v/>
      </c>
      <c r="AJ190" s="201"/>
      <c r="AK190" s="202"/>
      <c r="AL190" s="106"/>
      <c r="AM190" s="59"/>
      <c r="AN190" s="107" t="b">
        <f>IF(BA190="","",IF(AND(BA190=1,F192=50,L190="油入自冷"),VLOOKUP(L192,変１,2,FALSE),IF(AND(BA190=1,F192=50,L190="モ－ルド絶縁"),VLOOKUP(L192,変１,7,FALSE),IF(AND(BA190=1,F192=60,L190="油入自冷"),VLOOKUP(L192,変１,12,FALSE),IF(AND(BA190=1,F192=60,L190="モ－ルド絶縁"),VLOOKUP(L192,変１,17,FALSE),FALSE)))))</f>
        <v>0</v>
      </c>
      <c r="AO190" s="107">
        <f>IF(ISNA(VLOOKUP(L192,変ＵＳＥＲ,2,FALSE)),0,VLOOKUP(L192,変ＵＳＥＲ,2,FALSE))</f>
        <v>0</v>
      </c>
      <c r="AP190" s="108">
        <f>IF(N190="",0,N190*1000/BA192^2/SQRT(BA190))</f>
        <v>0</v>
      </c>
      <c r="AQ190" s="107" t="b">
        <f>IF(BA190=1,2,IF(BA190=3,SQRT(3),FALSE))</f>
        <v>0</v>
      </c>
      <c r="AR190" s="109" t="str">
        <f>IF(X190="","",IF(X190="600V IV",VLOOKUP(X192,ＩＶ,2,FALSE),IF(X190="600V CV-T",VLOOKUP(X192,ＣＶＴ,2,FALSE),IF(OR(X190="600V CV-1C",X190="600V CV-2C",X190="600V CV-3C",X190="600V CV-4C"),VLOOKUP(X192,ＣＶ２３Ｃ,2,FALSE),VLOOKUP(X192,ＣＵＳＥＲ,2,FALSE)))))</f>
        <v/>
      </c>
      <c r="AS190" s="107" t="str">
        <f>IF(AB193="",AP192,AP192+(AB193/1000))</f>
        <v/>
      </c>
      <c r="AT190" s="110" t="str">
        <f>IF(AU192="",AT192,AU192)</f>
        <v/>
      </c>
      <c r="AU190" s="110" t="str">
        <f>IF(D190="","",IF(AND(D194="",D198&lt;&gt;"",AV193=AV201),AT198,IF(AND(D194="",D198="",D202&lt;&gt;"",AV197=AV205),AT202,IF(AND(D194="",D198="",D202="",D206&lt;&gt;"",AV201=AV209),AT206,IF(AND(D194="",D198="",D202="",D206="",D210&lt;&gt;"",AV205=AV213),AT210,IF(AND(D194="",D198="",D202="",D206="",D210="",D214&lt;&gt;"",AV209=AV217),AT214,IF(AND(D194="",D198="",D202="",D206="",D210="",D214="",D218&lt;&gt;"",AV213=AV221),AT218,"")))))))</f>
        <v/>
      </c>
      <c r="AV190" s="110" t="str">
        <f>IF(L190="発電機",IF(ISNA(VLOOKUP(L192,ＡＣＧ,2,FALSE)),0,VLOOKUP(L192,ＡＣＧ,2,FALSE)),"")</f>
        <v/>
      </c>
      <c r="AW190" s="111" t="str">
        <f>IF(AT190="","",AT190/((AT190*AP190)^2+(AT191*AP190-1)^2))</f>
        <v/>
      </c>
      <c r="AX190" s="112" t="str">
        <f>IF(BA192=0,"",IF(OR(#REF!="",AF190&lt;&gt;""),AF190*SQRT(AS192^2+AS193^2)/SQRT(AT192^2+AT193^2),#REF!*SQRT(AS192^2+AS193^2)/SQRT(AT192^2+AT193^2)))</f>
        <v/>
      </c>
      <c r="AY190" s="113">
        <f>IF(N(AY192)=10^30,10^30,IF(N(AY196)=10^30,(N(AY192)*(N(AY196)^2+N(AY197)^2)+N(AY196)*(N(AY192)^2+N(AY193)^2))/((N(AY192)+N(AY196))^2+(N(AY193)+N(AY197))^2),(N(AY192)*(N(AY194)^2+N(AY195)^2)+N(AY194)*(N(AY192)^2+N(AY193)^2))/((N(AY192)+N(AY194))^2+(N(AY193)+N(AY195))^2)))</f>
        <v>1E+30</v>
      </c>
      <c r="AZ190" s="52"/>
      <c r="BA190" s="114">
        <f>IF(AND(F190="",SUM(S190:S193)&lt;&gt;0),#REF!,F190)</f>
        <v>0</v>
      </c>
      <c r="BB190" s="115">
        <f>IF(AND(BA190=3,S190&lt;&gt;""),1,0)</f>
        <v>0</v>
      </c>
      <c r="BC190" s="52"/>
      <c r="BD190" s="200"/>
      <c r="BH190" s="162">
        <f>IF(OR(E190="",F193="",AND(OR(P190="",Q190="",R190="",T190=""),OR(P191="",Q191="",R191="",T191=""),OR(P192="",Q192="",R192="",T192=""),OR(P193="",Q193="",R193="",T193="")),AND(OR(X190="",X192="",Y192="",Z192=""),OR(AB190="",AB192="",AC192="",AD192=""))),0,1)</f>
        <v>0</v>
      </c>
      <c r="BI190" s="162">
        <f>BH190+BI186</f>
        <v>4</v>
      </c>
      <c r="BJ190" s="4"/>
      <c r="BK190" s="4"/>
    </row>
    <row r="191" spans="1:63" ht="15" customHeight="1" x14ac:dyDescent="0.15">
      <c r="A191" s="159"/>
      <c r="B191" s="159"/>
      <c r="C191" s="245"/>
      <c r="D191" s="432"/>
      <c r="E191" s="448"/>
      <c r="F191" s="434"/>
      <c r="G191" s="241"/>
      <c r="H191" s="435"/>
      <c r="I191" s="241"/>
      <c r="J191" s="435"/>
      <c r="K191" s="247"/>
      <c r="L191" s="436"/>
      <c r="M191" s="170" t="str">
        <f>IF(L190="発電機",SQRT(AV190^2+AV191^2),IF(L192="","",IF(OR(L190="油入自冷",L190="モ－ルド絶縁"),IF(BA190=1,SQRT(AN190^2+AN191^2),IF(BA190=3,SQRT(AN192^2+AN193^2))),SQRT(AO190^2+AO191^2))))</f>
        <v/>
      </c>
      <c r="N191" s="437"/>
      <c r="O191" s="171"/>
      <c r="P191" s="195"/>
      <c r="Q191" s="172"/>
      <c r="R191" s="173"/>
      <c r="S191" s="174" t="str">
        <f t="shared" si="8"/>
        <v/>
      </c>
      <c r="T191" s="175"/>
      <c r="U191" s="176" t="str">
        <f>IF(OR(BA192="",S191=""),"",S191*1000*T191/(SQRT(BA190)*BA192))</f>
        <v/>
      </c>
      <c r="V191" s="237"/>
      <c r="W191" s="221"/>
      <c r="X191" s="225"/>
      <c r="Y191" s="226"/>
      <c r="Z191" s="227"/>
      <c r="AA191" s="229"/>
      <c r="AB191" s="231"/>
      <c r="AC191" s="226"/>
      <c r="AD191" s="227"/>
      <c r="AE191" s="233"/>
      <c r="AF191" s="124" t="str">
        <f>IF(OR(AF190="",AG186&lt;&gt;""),"",AF190*AQ191/SQRT(AT190^2+AT191^2))</f>
        <v/>
      </c>
      <c r="AG191" s="205" t="str">
        <f>IF(AG190="","",100*AG190*AQ191/BA192)</f>
        <v/>
      </c>
      <c r="AH191" s="206"/>
      <c r="AI191" s="207" t="str">
        <f>IF(BA192=0,"",IF(#REF!="",AX192/SQRT(AT190^2+AT191^2),IF(AI194="","",IF(AT190&lt;0,-AX190*#REF!/SQRT(AT190^2+AT191^2),AX190*#REF!/SQRT(AT190^2+AT191^2)))))</f>
        <v/>
      </c>
      <c r="AJ191" s="203"/>
      <c r="AK191" s="204"/>
      <c r="AL191" s="125"/>
      <c r="AM191" s="59"/>
      <c r="AN191" s="107" t="b">
        <f>IF(BA190="","",IF(AND(BA190=1,F192=50,L190="油入自冷"),VLOOKUP(L192,変１,3,FALSE),IF(AND(BA190=1,F192=50,L190="モ－ルド絶縁"),VLOOKUP(L192,変１,8,FALSE),IF(AND(BA190=1,F192=60,L190="油入自冷"),VLOOKUP(L192,変１,13,FALSE),IF(AND(BA190=1,F192=60,L190="モ－ルド絶縁"),VLOOKUP(L192,変１,18,FALSE),FALSE)))))</f>
        <v>0</v>
      </c>
      <c r="AO191" s="107">
        <f>IF(ISNA(VLOOKUP(L192,変ＵＳＥＲ,3,FALSE)),0,VLOOKUP(L192,変ＵＳＥＲ,3,FALSE)*BA193/50)</f>
        <v>0</v>
      </c>
      <c r="AP191" s="108">
        <f>IF(W190="",0,W190*1000/BA192^2/SQRT(BA190))</f>
        <v>0</v>
      </c>
      <c r="AQ191" s="107">
        <f>IF(AND(BA190=1,BA191=2),1,IF(AND(BA190=3,BA191=3),1,IF(AND(BA190=1,BA191=3),2,IF(AND(BA190=3,BA191=4)*OR(BB190=1,BB191=1,BB192=1,BB193=1),1,SQRT(3)))))</f>
        <v>1.7320508075688772</v>
      </c>
      <c r="AR191" s="109" t="str">
        <f>IF(X190="","",IF(X190="600V IV",VLOOKUP(X192,ＩＶ,3,FALSE),IF(X190="600V CV-T",VLOOKUP(X192,ＣＶＴ,3,FALSE),IF(OR(X190="600V CV-1C",X190="600V CV-2C",X190="600V CV-3C",X190="600V CV-4C"),VLOOKUP(X192,ＣＶ２３Ｃ,3,FALSE),VLOOKUP(X192,ＣＵＳＥＲ,3,FALSE)))))</f>
        <v/>
      </c>
      <c r="AS191" s="107" t="str">
        <f>IF(AD193="",AP193,AP193+(AD193/1000))</f>
        <v/>
      </c>
      <c r="AT191" s="110" t="str">
        <f>IF(AU193="",AT193,AU193)</f>
        <v/>
      </c>
      <c r="AU191" s="110" t="str">
        <f>IF(D190="","",IF(AND(D194="",D198&lt;&gt;"",AV193=AV201),AT199,IF(AND(D194="",D198="",D202&lt;&gt;"",AV197=AV205),AT203,IF(AND(D194="",D198="",D202="",D206&lt;&gt;"",AV201=AV209),AT207,IF(AND(D194="",D198="",D202="",D206="",D210&lt;&gt;"",AV205=AV213),AT211,IF(AND(D194="",D198="",D202="",D206="",D210="",D214&lt;&gt;"",AV209=AV217),AT215,IF(AND(D194="",D198="",D202="",D206="",D210="",D214="",D218&lt;&gt;"",AV213=AV221),AT219,"")))))))</f>
        <v/>
      </c>
      <c r="AV191" s="109" t="str">
        <f>IF(L190="発電機",IF(ISNA(VLOOKUP(L192,ＡＣＧ,3,FALSE)),0,VLOOKUP(L192,ＡＣＧ,3,FALSE)*BA193/50),"")</f>
        <v/>
      </c>
      <c r="AW191" s="111" t="str">
        <f>IF(AT191="","",(AT191-AP190*(AT190^2+AT191^2))/((AT190*AP190)^2+(AP190*AT191-1)^2))</f>
        <v/>
      </c>
      <c r="AX191" s="112"/>
      <c r="AY191" s="113">
        <f>IF(N(AY193)=10^30,10^30,IF(N(AY197)=10^30,(N(AY193)*(N(AY196)^2+N(AY197)^2)+N(AY197)*(N(AY192)^2+N(AY193)^2))/((N(AY192)+N(AY196))^2+(N(AY193)+N(AY197))^2),(N(AY193)*(N(AY194)^2+N(AY195)^2)+N(AY195)*(N(AY192)^2+N(AY193)^2))/((N(AY192)+N(AY194))^2+(N(AY193)+N(AY195))^2)))</f>
        <v>1E+30</v>
      </c>
      <c r="AZ191" s="52"/>
      <c r="BA191" s="114">
        <f>IF(AND(H190="",SUM(S190:S193)&lt;&gt;0),#REF!,H190)</f>
        <v>0</v>
      </c>
      <c r="BB191" s="115">
        <f>IF(AND(BA190=3,S191&lt;&gt;""),1,0)</f>
        <v>0</v>
      </c>
      <c r="BC191" s="52"/>
      <c r="BD191" s="248"/>
      <c r="BH191" s="162"/>
      <c r="BI191" s="162"/>
      <c r="BJ191" s="4"/>
      <c r="BK191" s="4"/>
    </row>
    <row r="192" spans="1:63" ht="15" customHeight="1" x14ac:dyDescent="0.15">
      <c r="A192" s="159"/>
      <c r="B192" s="159"/>
      <c r="C192" s="245"/>
      <c r="D192" s="432"/>
      <c r="E192" s="448"/>
      <c r="F192" s="438"/>
      <c r="G192" s="438"/>
      <c r="H192" s="438"/>
      <c r="I192" s="438"/>
      <c r="J192" s="438"/>
      <c r="K192" s="439"/>
      <c r="L192" s="440"/>
      <c r="M192" s="441"/>
      <c r="N192" s="437"/>
      <c r="O192" s="171"/>
      <c r="P192" s="196"/>
      <c r="Q192" s="177"/>
      <c r="R192" s="173"/>
      <c r="S192" s="174" t="str">
        <f t="shared" si="8"/>
        <v/>
      </c>
      <c r="T192" s="175"/>
      <c r="U192" s="178" t="str">
        <f>IF(OR(BA192="",S192=""),"",S192*1000*T192/(SQRT(BA190)*BA192))</f>
        <v/>
      </c>
      <c r="V192" s="179" t="str">
        <f>IF(AND(N(U190)=0,N(U191)=0,N(U192)=0,N(U193)=0),"",V190*(P190*R190*T190+P191*R191*T191+P192*R192*T192+P193*R193*T193)/(P190*T190+P191*T191+P192*T192+P193*T193))</f>
        <v/>
      </c>
      <c r="W192" s="209" t="str">
        <f>IF(AND(N(AP192)=0,N(AP193)=0,N(AP191)=0),"",IF(AP193&gt;=0,COS(ATAN(AP193/AP192)),-COS(ATAN(AP193/AP192))))</f>
        <v/>
      </c>
      <c r="X192" s="180"/>
      <c r="Y192" s="181"/>
      <c r="Z192" s="182"/>
      <c r="AA192" s="183"/>
      <c r="AB192" s="184"/>
      <c r="AC192" s="181"/>
      <c r="AD192" s="182"/>
      <c r="AE192" s="185"/>
      <c r="AF192" s="136" t="str">
        <f>IF(OR(AF190="",AG186&lt;&gt;""),"",BA192/SQRT(AW192^2+AW193^2))</f>
        <v/>
      </c>
      <c r="AG192" s="205" t="str">
        <f>IF(AG190="","",100*((BA192/AQ191)-AG190)/(BA192/AQ191))</f>
        <v/>
      </c>
      <c r="AH192" s="206"/>
      <c r="AI192" s="208"/>
      <c r="AJ192" s="211"/>
      <c r="AK192" s="213"/>
      <c r="AL192" s="137"/>
      <c r="AM192" s="59"/>
      <c r="AN192" s="138" t="b">
        <f>IF(BA190="","",IF(AND(BA190=3,F192=50,L190="油入自冷"),VLOOKUP(L192,変３,2,FALSE),IF(AND(BA190=3,F192=50,L190="モ－ルド絶縁"),VLOOKUP(L192,変３,7,FALSE),IF(AND(BA190=3,F192=60,L190="油入自冷"),VLOOKUP(L192,変３,12,FALSE),IF(AND(BA190=3,F192=60,L190="モ－ルド絶縁"),VLOOKUP(L192,変３,17,FALSE),FALSE)))))</f>
        <v>0</v>
      </c>
      <c r="AO192" s="109" t="e">
        <f>IF(AND(#REF!="",N(AY190)&lt;10^29),AY190,"")</f>
        <v>#REF!</v>
      </c>
      <c r="AP192" s="139" t="str">
        <f>IF(V190="","",IF(AND(N(V192)=0,N(AP191)=0),"",AQ192/((AQ192*AP191)^2+(AP191*AQ193-1)^2)))</f>
        <v/>
      </c>
      <c r="AQ192" s="107">
        <f>IF(N(V192)=0,10^30,V192)</f>
        <v>1E+30</v>
      </c>
      <c r="AR192" s="109" t="str">
        <f>IF(AB190="","",IF(AB190="600V IV",VLOOKUP(AB192,ＩＶ,2,FALSE),IF(AB190="600V CV-T",VLOOKUP(AB192,ＣＶＴ,2,FALSE),IF(OR(AB190="600V CV-1C",AB190="600V CV-2C",AB190="600V CV-3C",AB190="600V CV-4C"),VLOOKUP(AB192,ＣＶ２３Ｃ,2,FALSE),VLOOKUP(AB192,ＣＵＳＥＲ,2,FALSE)))))</f>
        <v/>
      </c>
      <c r="AS192" s="107" t="str">
        <f>IF(OR(AND(AS194="",AS195=""),AND(D190="",D194&lt;&gt;"")),AS190,(AS190*(AT194^2+AT195^2)+AT194*(AS190^2+AS191^2))/((AS190+AT194)^2+(AS191+AT195)^2))</f>
        <v/>
      </c>
      <c r="AT192" s="110" t="str">
        <f>IF(X193="",AS192,N(AS192)+(X193/1000))</f>
        <v/>
      </c>
      <c r="AU192" s="110" t="str">
        <f>IF(AU190="","",(AT192*(AU190^2+AU191^2)+AU190*(AT192^2+AT193^2))/((AT192+AU190)^2+(AT193+AU191)^2))</f>
        <v/>
      </c>
      <c r="AV192" s="110">
        <f>IF(BA192=0,1,0)</f>
        <v>1</v>
      </c>
      <c r="AW192" s="111" t="e">
        <f>IF(AO192="","",AW190+AO192)</f>
        <v>#REF!</v>
      </c>
      <c r="AX192" s="112" t="e">
        <f>IF(AND(#REF!="",AW192&lt;&gt;""),BA192*SQRT(AW190^2+AW191^2)/SQRT(AW192^2+AW193^2),IF(BA192&lt;&gt;0,#REF!,""))</f>
        <v>#REF!</v>
      </c>
      <c r="AY192" s="140">
        <f>IF(L192="",10^30,SQRT(BA190)*(BA192^2)*(N(AN190)+N(AN192)+N(AO190)+N(AV190))/(100000*L192*M190))</f>
        <v>1E+30</v>
      </c>
      <c r="AZ192" s="141"/>
      <c r="BA192" s="114">
        <f>IF(AND(J190="",SUM(S190:S193)&lt;&gt;0),#REF!,J190)</f>
        <v>0</v>
      </c>
      <c r="BB192" s="115">
        <f>IF(AND(BA190=3,S192&lt;&gt;""),1,0)</f>
        <v>0</v>
      </c>
      <c r="BC192" s="52"/>
      <c r="BD192" s="249"/>
      <c r="BH192" s="162"/>
      <c r="BI192" s="162"/>
      <c r="BJ192" s="4"/>
      <c r="BK192" s="4"/>
    </row>
    <row r="193" spans="1:63" ht="15" customHeight="1" x14ac:dyDescent="0.15">
      <c r="A193" s="159"/>
      <c r="B193" s="159"/>
      <c r="C193" s="245"/>
      <c r="D193" s="442"/>
      <c r="E193" s="449"/>
      <c r="F193" s="444"/>
      <c r="G193" s="444"/>
      <c r="H193" s="444"/>
      <c r="I193" s="444"/>
      <c r="J193" s="444"/>
      <c r="K193" s="445"/>
      <c r="L193" s="238" t="str">
        <f>IF(M190="","",L192*1000*M190/(SQRT(BA190)*BA192))</f>
        <v/>
      </c>
      <c r="M193" s="239"/>
      <c r="N193" s="446"/>
      <c r="O193" s="186"/>
      <c r="P193" s="197"/>
      <c r="Q193" s="187"/>
      <c r="R193" s="188"/>
      <c r="S193" s="189" t="str">
        <f t="shared" si="8"/>
        <v/>
      </c>
      <c r="T193" s="190"/>
      <c r="U193" s="191" t="str">
        <f>IF(OR(BA192="",S193=""),"",S193*1000*T193/(SQRT(BA190)*BA192))</f>
        <v/>
      </c>
      <c r="V193" s="192" t="str">
        <f>IF(AND(N(U190)=0,N(U191)=0,N(U192)=0,N(U193)=0),"",IF(V190&gt;=0,SQRT(ABS(V190^2-V192^2)),-SQRT(V190^2-V192^2)))</f>
        <v/>
      </c>
      <c r="W193" s="210"/>
      <c r="X193" s="215" t="str">
        <f>IF(Y192="","",AQ190*Z192*AR190*((1+0.00393*(F193-20))/1.2751)/Y192)</f>
        <v/>
      </c>
      <c r="Y193" s="216"/>
      <c r="Z193" s="217" t="str">
        <f>IF(Y192="","",(BA193/50)*AQ190*Z192*AR191/Y192)</f>
        <v/>
      </c>
      <c r="AA193" s="218"/>
      <c r="AB193" s="219" t="str">
        <f>IF(AC192="","",AQ190*AD192*AR192*((1+0.00393*(F193-20))/1.2751)/AC192)</f>
        <v/>
      </c>
      <c r="AC193" s="216"/>
      <c r="AD193" s="217" t="str">
        <f>IF(AC192="","",(BA193/50)*AQ190*AD192*AR193/AC192)</f>
        <v/>
      </c>
      <c r="AE193" s="242"/>
      <c r="AF193" s="150" t="str">
        <f>IF(AND(AX190&lt;&gt;"",D190=""),AX190,"")</f>
        <v/>
      </c>
      <c r="AG193" s="243" t="str">
        <f>IF(AP192="","",AP192)</f>
        <v/>
      </c>
      <c r="AH193" s="244"/>
      <c r="AI193" s="151" t="str">
        <f>IF(AP193="","",AP193)</f>
        <v/>
      </c>
      <c r="AJ193" s="212"/>
      <c r="AK193" s="214"/>
      <c r="AL193" s="152"/>
      <c r="AM193" s="59"/>
      <c r="AN193" s="153" t="b">
        <f>IF(BA190="","",IF(AND(BA190=3,F192=50,L190="油入自冷"),VLOOKUP(L192,変３,3,FALSE),IF(AND(BA190=3,F192=50,L190="モ－ルド絶縁"),VLOOKUP(L192,変３,8,FALSE),IF(AND(BA190=3,F192=60,L190="油入自冷"),VLOOKUP(L192,変３,13,FALSE),IF(AND(BA190=3,F192=60,L190="モ－ルド絶縁"),VLOOKUP(L192,変３,18,FALSE),FALSE)))))</f>
        <v>0</v>
      </c>
      <c r="AO193" s="153" t="e">
        <f>IF(AND(#REF!="",N(AY191)&lt;10^29),AY191,"")</f>
        <v>#REF!</v>
      </c>
      <c r="AP193" s="154" t="str">
        <f>IF(V190="","",IF(AND(N(V193)=0,N(AP191)=0),0,(AQ193-AP191*(AQ192^2+AQ193^2))/((AQ192*AP191)^2+(AP191*AQ193-1)^2)))</f>
        <v/>
      </c>
      <c r="AQ193" s="155">
        <f>IF(N(V193)=0,10^30,V193)</f>
        <v>1E+30</v>
      </c>
      <c r="AR193" s="153" t="str">
        <f>IF(AB190="","",IF(AB190="600V IV",VLOOKUP(AB192,ＩＶ,3,FALSE),IF(AB190="600V CV-T",VLOOKUP(AB192,ＣＶＴ,3,FALSE),IF(OR(AB190="600V CV-1C",AB190="600V CV-2C",AB190="600V CV-3C",AB190="600V CV-4C"),VLOOKUP(AB192,ＣＶ２３Ｃ,3,FALSE),VLOOKUP(AB192,ＣＵＳＥＲ,3,FALSE)))))</f>
        <v/>
      </c>
      <c r="AS193" s="155" t="str">
        <f>IF(OR(AND(AS194="",AS195=""),AND(D190="",D194&lt;&gt;"")),AS191,(AS191*(AT194^2+AT195^2)+AT195*(AS190^2+AS191^2))/((AS190+AT194)^2+(AS191+AT195)^2))</f>
        <v/>
      </c>
      <c r="AT193" s="156" t="str">
        <f>IF(Z193="",AS193,N(AS193)+(Z193/1000))</f>
        <v/>
      </c>
      <c r="AU193" s="156" t="str">
        <f>IF(AU191="","",(AT193*(AU190^2+AU191^2)+AU191*(AT192^2+AT193^2))/((AT192+AU190)^2+(AT193+AU191)^2))</f>
        <v/>
      </c>
      <c r="AV193" s="156" t="e">
        <f>#REF!+AV192</f>
        <v>#REF!</v>
      </c>
      <c r="AW193" s="155" t="e">
        <f>IF(AO193="","",AW191+AO193)</f>
        <v>#REF!</v>
      </c>
      <c r="AX193" s="157"/>
      <c r="AY193" s="140">
        <f>IF(L192="",10^30,SQRT(BA190)*(BA192^2)*(N(AN191)+N(AN193)+N(AO191)+N(AV191))/(100000*L192*M190))</f>
        <v>1E+30</v>
      </c>
      <c r="AZ193" s="141"/>
      <c r="BA193" s="114">
        <f>IF(AND(F192="",SUM(S190:S193)&lt;&gt;0),#REF!,F192)</f>
        <v>0</v>
      </c>
      <c r="BB193" s="115">
        <f>IF(AND(BA190=3,S193&lt;&gt;""),1,0)</f>
        <v>0</v>
      </c>
      <c r="BC193" s="52"/>
      <c r="BD193" s="1"/>
      <c r="BH193" s="162"/>
      <c r="BI193" s="162"/>
      <c r="BJ193" s="4"/>
      <c r="BK193" s="4"/>
    </row>
    <row r="194" spans="1:63" ht="16.5" hidden="1" customHeight="1" x14ac:dyDescent="0.15">
      <c r="A194" s="159"/>
      <c r="B194" s="159"/>
      <c r="C194" s="159"/>
      <c r="D194" s="379"/>
      <c r="E194" s="382"/>
      <c r="F194" s="385"/>
      <c r="G194" s="387" t="str">
        <f>IF(F194="","","φ")</f>
        <v/>
      </c>
      <c r="H194" s="408"/>
      <c r="I194" s="387" t="str">
        <f>IF(H194="","","W")</f>
        <v/>
      </c>
      <c r="J194" s="367"/>
      <c r="K194" s="369" t="str">
        <f>IF(J194="","","V")</f>
        <v/>
      </c>
      <c r="L194" s="401"/>
      <c r="M194" s="96"/>
      <c r="N194" s="403"/>
      <c r="O194" s="97"/>
      <c r="P194" s="98"/>
      <c r="Q194" s="99"/>
      <c r="R194" s="100"/>
      <c r="S194" s="101" t="str">
        <f>IF(R194="","",IF(Q194="",P194/R194,P194/(Q194*R194)))</f>
        <v/>
      </c>
      <c r="T194" s="102"/>
      <c r="U194" s="103" t="str">
        <f>IF(OR(BA196="",S194=""),"",S194*1000*T194/(SQRT(BA194)*BA196))</f>
        <v/>
      </c>
      <c r="V194" s="324" t="str">
        <f>IF(AND(N(U194)=0,N(U195)=0,N(U196)=0,N(U197)=0),"",BA196/(SUM(U194:U197)))</f>
        <v/>
      </c>
      <c r="W194" s="373"/>
      <c r="X194" s="389"/>
      <c r="Y194" s="390"/>
      <c r="Z194" s="391"/>
      <c r="AA194" s="395"/>
      <c r="AB194" s="397"/>
      <c r="AC194" s="390"/>
      <c r="AD194" s="391"/>
      <c r="AE194" s="399"/>
      <c r="AF194" s="104" t="str">
        <f>IF(OR(AND(AF190="",N(BA192)=0,BA196&lt;&gt;0),D194&lt;&gt;""),AX196/AQ195,"")</f>
        <v/>
      </c>
      <c r="AG194" s="234" t="str">
        <f>IF(BA196=0,"",IF(AD196="",AX194,IF(AND(D194&lt;&gt;"",AU194=""),AX196*SQRT(AP196^2+AP197^2)/SQRT(AS194^2+AS195^2)/AQ195,AX194*SQRT(AP196^2+AP197^2)/SQRT(AS194^2+AS195^2))))</f>
        <v/>
      </c>
      <c r="AH194" s="235"/>
      <c r="AI194" s="105" t="str">
        <f>IF(AG194="","",IF(N(U194)&lt;0,-AX194*AQ195/SQRT(AS194^2+AS195^2),AX194*AQ195/SQRT(AS194^2+AS195^2)))</f>
        <v/>
      </c>
      <c r="AJ194" s="254"/>
      <c r="AK194" s="255"/>
      <c r="AL194" s="106"/>
      <c r="AM194" s="59"/>
      <c r="AN194" s="107" t="b">
        <f>IF(BA194="","",IF(AND(BA194=1,F196=50,L194="油入自冷"),VLOOKUP(L196,変１,2,FALSE),IF(AND(BA194=1,F196=50,L194="モ－ルド絶縁"),VLOOKUP(L196,変１,7,FALSE),IF(AND(BA194=1,F196=60,L194="油入自冷"),VLOOKUP(L196,変１,12,FALSE),IF(AND(BA194=1,F196=60,L194="モ－ルド絶縁"),VLOOKUP(L196,変１,17,FALSE),FALSE)))))</f>
        <v>0</v>
      </c>
      <c r="AO194" s="107">
        <f>IF(ISNA(VLOOKUP(L196,変ＵＳＥＲ,2,FALSE)),0,VLOOKUP(L196,変ＵＳＥＲ,2,FALSE))</f>
        <v>0</v>
      </c>
      <c r="AP194" s="108">
        <f>IF(N194="",0,N194*1000/BA196^2/SQRT(BA194))</f>
        <v>0</v>
      </c>
      <c r="AQ194" s="107" t="b">
        <f>IF(BA194=1,2,IF(BA194=3,SQRT(3),FALSE))</f>
        <v>0</v>
      </c>
      <c r="AR194" s="109" t="str">
        <f>IF(X194="","",IF(X194="600V IV",VLOOKUP(X196,ＩＶ,2,FALSE),IF(X194="600V CV-T",VLOOKUP(X196,ＣＶＴ,2,FALSE),IF(OR(X194="600V CV-1C",X194="600V CV-2C",X194="600V CV-3C",X194="600V CV-4C"),VLOOKUP(X196,ＣＶ２３Ｃ,2,FALSE),VLOOKUP(X196,ＣＵＳＥＲ,2,FALSE)))))</f>
        <v/>
      </c>
      <c r="AS194" s="107" t="str">
        <f>IF(AB197="",AP196,AP196+(AB197/1000))</f>
        <v/>
      </c>
      <c r="AT194" s="110" t="str">
        <f>IF(AU196="",AT196,AU196)</f>
        <v/>
      </c>
      <c r="AU194" s="110" t="str">
        <f>IF(D194="","",IF(AND(D198="",D202&lt;&gt;"",AV197=AV205),AT202,IF(AND(D198="",D202="",D206&lt;&gt;"",AV201=AV209),AT206,IF(AND(D198="",D202="",D206="",D210&lt;&gt;"",AV205=AV213),AT210,IF(AND(D198="",D202="",D206="",D210="",D214&lt;&gt;"",AV209=AV217),AT214,IF(AND(D198="",D202="",D206="",D210="",D214="",D218&lt;&gt;"",AV213=AV221),AT218,IF(AND(D198="",D202="",D206="",D210="",D214="",D218="",D222&lt;&gt;"",AV217=AV225),AT222,"")))))))</f>
        <v/>
      </c>
      <c r="AV194" s="110" t="str">
        <f>IF(L194="発電機",IF(ISNA(VLOOKUP(L196,ＡＣＧ,2,FALSE)),0,VLOOKUP(L196,ＡＣＧ,2,FALSE)),"")</f>
        <v/>
      </c>
      <c r="AW194" s="111" t="str">
        <f>IF(AT194="","",AT194/((AT194*AP194)^2+(AT195*AP194-1)^2))</f>
        <v/>
      </c>
      <c r="AX194" s="112" t="str">
        <f>IF(BA196=0,"",IF(OR(AX190="",AF194&lt;&gt;""),AF194*SQRT(AS196^2+AS197^2)/SQRT(AT196^2+AT197^2),AX190*SQRT(AS196^2+AS197^2)/SQRT(AT196^2+AT197^2)))</f>
        <v/>
      </c>
      <c r="AY194" s="113">
        <f>IF(N(AY196)=10^30,10^30,IF(N(AY200)=10^30,(N(AY196)*(N(AY200)^2+N(AY201)^2)+N(AY200)*(N(AY196)^2+N(AY197)^2))/((N(AY196)+N(AY200))^2+(N(AY197)+N(AY201))^2),(N(AY196)*(N(AY198)^2+N(AY199)^2)+N(AY198)*(N(AY196)^2+N(AY197)^2))/((N(AY196)+N(AY198))^2+(N(AY197)+N(AY199))^2)))</f>
        <v>1E+30</v>
      </c>
      <c r="AZ194" s="52"/>
      <c r="BA194" s="114">
        <f>IF(AND(F194="",SUM(S194:S197)&lt;&gt;0),BA190,F194)</f>
        <v>0</v>
      </c>
      <c r="BB194" s="115">
        <f>IF(AND(BA194=3,S194&lt;&gt;""),1,0)</f>
        <v>0</v>
      </c>
      <c r="BC194" s="52"/>
      <c r="BD194" s="1"/>
      <c r="BH194" s="162"/>
      <c r="BI194" s="162"/>
      <c r="BJ194" s="4"/>
      <c r="BK194" s="4"/>
    </row>
    <row r="195" spans="1:63" ht="16.5" hidden="1" customHeight="1" x14ac:dyDescent="0.15">
      <c r="A195" s="159"/>
      <c r="B195" s="159"/>
      <c r="C195" s="159"/>
      <c r="D195" s="380"/>
      <c r="E195" s="383"/>
      <c r="F195" s="386"/>
      <c r="G195" s="388"/>
      <c r="H195" s="409"/>
      <c r="I195" s="388"/>
      <c r="J195" s="368"/>
      <c r="K195" s="370"/>
      <c r="L195" s="402"/>
      <c r="M195" s="116" t="str">
        <f>IF(L194="発電機",SQRT(AV194^2+AV195^2),IF(L196="","",IF(OR(L194="油入自冷",L194="モ－ルド絶縁"),IF(BA194=1,SQRT(AN194^2+AN195^2),IF(BA194=3,SQRT(AN196^2+AN197^2))),SQRT(AO194^2+AO195^2))))</f>
        <v/>
      </c>
      <c r="N195" s="404"/>
      <c r="O195" s="117"/>
      <c r="P195" s="118"/>
      <c r="Q195" s="119"/>
      <c r="R195" s="120"/>
      <c r="S195" s="121" t="str">
        <f>IF(R195="","",IF(Q195="",P195/R195,P195/(Q195*R195)))</f>
        <v/>
      </c>
      <c r="T195" s="122"/>
      <c r="U195" s="123" t="str">
        <f>IF(OR(BA196="",S195=""),"",S195*1000*T195/(SQRT(BA194)*BA196))</f>
        <v/>
      </c>
      <c r="V195" s="325"/>
      <c r="W195" s="374"/>
      <c r="X195" s="392"/>
      <c r="Y195" s="393"/>
      <c r="Z195" s="394"/>
      <c r="AA195" s="396"/>
      <c r="AB195" s="398"/>
      <c r="AC195" s="393"/>
      <c r="AD195" s="394"/>
      <c r="AE195" s="400"/>
      <c r="AF195" s="124" t="str">
        <f>IF(OR(AF194="",AG190&lt;&gt;""),"",AF194*AQ195/SQRT(AT194^2+AT195^2))</f>
        <v/>
      </c>
      <c r="AG195" s="205" t="str">
        <f>IF(AG194="","",100*AG194*AQ195/BA196)</f>
        <v/>
      </c>
      <c r="AH195" s="206"/>
      <c r="AI195" s="207" t="str">
        <f>IF(BA196=0,"",IF(AI190="",AX196/SQRT(AT194^2+AT195^2),IF(AI198="","",IF(AT194&lt;0,-AX194*AQ191/SQRT(AT194^2+AT195^2),AX194*AQ191/SQRT(AT194^2+AT195^2)))))</f>
        <v/>
      </c>
      <c r="AJ195" s="256"/>
      <c r="AK195" s="257"/>
      <c r="AL195" s="125"/>
      <c r="AM195" s="59"/>
      <c r="AN195" s="107" t="b">
        <f>IF(BA194="","",IF(AND(BA194=1,F196=50,L194="油入自冷"),VLOOKUP(L196,変１,3,FALSE),IF(AND(BA194=1,F196=50,L194="モ－ルド絶縁"),VLOOKUP(L196,変１,8,FALSE),IF(AND(BA194=1,F196=60,L194="油入自冷"),VLOOKUP(L196,変１,13,FALSE),IF(AND(BA194=1,F196=60,L194="モ－ルド絶縁"),VLOOKUP(L196,変１,18,FALSE),FALSE)))))</f>
        <v>0</v>
      </c>
      <c r="AO195" s="107">
        <f>IF(ISNA(VLOOKUP(L196,変ＵＳＥＲ,3,FALSE)),0,VLOOKUP(L196,変ＵＳＥＲ,3,FALSE)*BA197/50)</f>
        <v>0</v>
      </c>
      <c r="AP195" s="108">
        <f>IF(W194="",0,W194*1000/BA196^2/SQRT(BA194))</f>
        <v>0</v>
      </c>
      <c r="AQ195" s="107">
        <f>IF(AND(BA194=1,BA195=2),1,IF(AND(BA194=3,BA195=3),1,IF(AND(BA194=1,BA195=3),2,IF(AND(BA194=3,BA195=4)*OR(BB194=1,BB195=1,BB196=1,BB197=1),1,SQRT(3)))))</f>
        <v>1.7320508075688772</v>
      </c>
      <c r="AR195" s="109" t="str">
        <f>IF(X194="","",IF(X194="600V IV",VLOOKUP(X196,ＩＶ,3,FALSE),IF(X194="600V CV-T",VLOOKUP(X196,ＣＶＴ,3,FALSE),IF(OR(X194="600V CV-1C",X194="600V CV-2C",X194="600V CV-3C",X194="600V CV-4C"),VLOOKUP(X196,ＣＶ２３Ｃ,3,FALSE),VLOOKUP(X196,ＣＵＳＥＲ,3,FALSE)))))</f>
        <v/>
      </c>
      <c r="AS195" s="107" t="str">
        <f>IF(AD197="",AP197,AP197+(AD197/1000))</f>
        <v/>
      </c>
      <c r="AT195" s="110" t="str">
        <f>IF(AU197="",AT197,AU197)</f>
        <v/>
      </c>
      <c r="AU195" s="110" t="str">
        <f>IF(D194="","",IF(AND(D198="",D202&lt;&gt;"",AV197=AV205),AT203,IF(AND(D198="",D202="",D206&lt;&gt;"",AV201=AV209),AT207,IF(AND(D198="",D202="",D206="",D210&lt;&gt;"",AV205=AV213),AT211,IF(AND(D198="",D202="",D206="",D210="",D214&lt;&gt;"",AV209=AV217),AT215,IF(AND(D198="",D202="",D206="",D210="",D214="",D218&lt;&gt;"",AV213=AV221),AT219,IF(AND(D198="",D202="",D206="",D210="",D214="",D218="",D222&lt;&gt;"",AV217=AV225),AT223,"")))))))</f>
        <v/>
      </c>
      <c r="AV195" s="109" t="str">
        <f>IF(L194="発電機",IF(ISNA(VLOOKUP(L196,ＡＣＧ,3,FALSE)),0,VLOOKUP(L196,ＡＣＧ,3,FALSE)*BA197/50),"")</f>
        <v/>
      </c>
      <c r="AW195" s="111" t="str">
        <f>IF(AT195="","",(AT195-AP194*(AT194^2+AT195^2))/((AT194*AP194)^2+(AP194*AT195-1)^2))</f>
        <v/>
      </c>
      <c r="AX195" s="112"/>
      <c r="AY195" s="113">
        <f>IF(N(AY197)=10^30,10^30,IF(N(AY201)=10^30,(N(AY197)*(N(AY200)^2+N(AY201)^2)+N(AY201)*(N(AY196)^2+N(AY197)^2))/((N(AY196)+N(AY200))^2+(N(AY197)+N(AY201))^2),(N(AY197)*(N(AY198)^2+N(AY199)^2)+N(AY199)*(N(AY196)^2+N(AY197)^2))/((N(AY196)+N(AY198))^2+(N(AY197)+N(AY199))^2)))</f>
        <v>1E+30</v>
      </c>
      <c r="AZ195" s="52"/>
      <c r="BA195" s="114">
        <f>IF(AND(H194="",SUM(S194:S197)&lt;&gt;0),BA191,H194)</f>
        <v>0</v>
      </c>
      <c r="BB195" s="115">
        <f>IF(AND(BA194=3,S195&lt;&gt;""),1,0)</f>
        <v>0</v>
      </c>
      <c r="BC195" s="52"/>
      <c r="BD195" s="1"/>
      <c r="BH195" s="162"/>
      <c r="BI195" s="162"/>
      <c r="BJ195" s="4"/>
      <c r="BK195" s="4"/>
    </row>
    <row r="196" spans="1:63" ht="15" hidden="1" customHeight="1" x14ac:dyDescent="0.15">
      <c r="A196" s="159"/>
      <c r="B196" s="159"/>
      <c r="C196" s="159"/>
      <c r="D196" s="380"/>
      <c r="E196" s="383"/>
      <c r="F196" s="406"/>
      <c r="G196" s="406"/>
      <c r="H196" s="406"/>
      <c r="I196" s="406"/>
      <c r="J196" s="406"/>
      <c r="K196" s="407"/>
      <c r="L196" s="375"/>
      <c r="M196" s="376"/>
      <c r="N196" s="404"/>
      <c r="O196" s="117"/>
      <c r="P196" s="126"/>
      <c r="Q196" s="127"/>
      <c r="R196" s="120"/>
      <c r="S196" s="121" t="str">
        <f>IF(R196="","",IF(Q196="",P196/R196,P196/(Q196*R196)))</f>
        <v/>
      </c>
      <c r="T196" s="122"/>
      <c r="U196" s="128" t="str">
        <f>IF(OR(BA196="",S196=""),"",S196*1000*T196/(SQRT(BA194)*BA196))</f>
        <v/>
      </c>
      <c r="V196" s="129" t="str">
        <f>IF(AND(N(U194)=0,N(U195)=0,N(U196)=0,N(U197)=0),"",V194*(P194*R194*T194+P195*R195*T195+P196*R196*T196+P197*R197*T197)/(P194*T194+P195*T195+P196*T196+P197*T197))</f>
        <v/>
      </c>
      <c r="W196" s="377" t="str">
        <f>IF(AND(N(AP196)=0,N(AP197)=0,N(AP195)=0),"",IF(AP197&gt;=0,COS(ATAN(AP197/AP196)),-COS(ATAN(AP197/AP196))))</f>
        <v/>
      </c>
      <c r="X196" s="130"/>
      <c r="Y196" s="131"/>
      <c r="Z196" s="132"/>
      <c r="AA196" s="133"/>
      <c r="AB196" s="134"/>
      <c r="AC196" s="131"/>
      <c r="AD196" s="132"/>
      <c r="AE196" s="135"/>
      <c r="AF196" s="136" t="str">
        <f>IF(OR(AF194="",AG190&lt;&gt;""),"",BA196/SQRT(AW196^2+AW197^2))</f>
        <v/>
      </c>
      <c r="AG196" s="205" t="str">
        <f>IF(AG194="","",100*((BA196/AQ195)-AG194)/(BA196/AQ195))</f>
        <v/>
      </c>
      <c r="AH196" s="206"/>
      <c r="AI196" s="208"/>
      <c r="AJ196" s="265"/>
      <c r="AK196" s="258"/>
      <c r="AL196" s="137"/>
      <c r="AM196" s="59"/>
      <c r="AN196" s="138" t="b">
        <f>IF(BA194="","",IF(AND(BA194=3,F196=50,L194="油入自冷"),VLOOKUP(L196,変３,2,FALSE),IF(AND(BA194=3,F196=50,L194="モ－ルド絶縁"),VLOOKUP(L196,変３,7,FALSE),IF(AND(BA194=3,F196=60,L194="油入自冷"),VLOOKUP(L196,変３,12,FALSE),IF(AND(BA194=3,F196=60,L194="モ－ルド絶縁"),VLOOKUP(L196,変３,17,FALSE),FALSE)))))</f>
        <v>0</v>
      </c>
      <c r="AO196" s="109" t="str">
        <f>IF(AND(L190="",N(AY194)&lt;10^29),AY194,"")</f>
        <v/>
      </c>
      <c r="AP196" s="139" t="str">
        <f>IF(V194="","",IF(AND(N(V196)=0,N(AP195)=0),"",AQ196/((AQ196*AP195)^2+(AP195*AQ197-1)^2)))</f>
        <v/>
      </c>
      <c r="AQ196" s="107">
        <f>IF(N(V196)=0,10^30,V196)</f>
        <v>1E+30</v>
      </c>
      <c r="AR196" s="109" t="str">
        <f>IF(AB194="","",IF(AB194="600V IV",VLOOKUP(AB196,ＩＶ,2,FALSE),IF(AB194="600V CV-T",VLOOKUP(AB196,ＣＶＴ,2,FALSE),IF(OR(AB194="600V CV-1C",AB194="600V CV-2C",AB194="600V CV-3C",AB194="600V CV-4C"),VLOOKUP(AB196,ＣＶ２３Ｃ,2,FALSE),VLOOKUP(AB196,ＣＵＳＥＲ,2,FALSE)))))</f>
        <v/>
      </c>
      <c r="AS196" s="107" t="str">
        <f>IF(OR(AND(AS198="",AS199=""),AND(D194="",D198&lt;&gt;"")),AS194,(AS194*(AT198^2+AT199^2)+AT198*(AS194^2+AS195^2))/((AS194+AT198)^2+(AS195+AT199)^2))</f>
        <v/>
      </c>
      <c r="AT196" s="110" t="str">
        <f>IF(X197="",AS196,N(AS196)+(X197/1000))</f>
        <v/>
      </c>
      <c r="AU196" s="110" t="str">
        <f>IF(AU194="","",(AT196*(AU194^2+AU195^2)+AU194*(AT196^2+AT197^2))/((AT196+AU194)^2+(AT197+AU195)^2))</f>
        <v/>
      </c>
      <c r="AV196" s="110">
        <f>IF(BA196=0,1,0)</f>
        <v>1</v>
      </c>
      <c r="AW196" s="111" t="str">
        <f>IF(AO196="","",AW194+AO196)</f>
        <v/>
      </c>
      <c r="AX196" s="112" t="e">
        <f>IF(AND(AX192="",AW196&lt;&gt;""),BA196*SQRT(AW194^2+AW195^2)/SQRT(AW196^2+AW197^2),IF(BA196&lt;&gt;0,AX192,""))</f>
        <v>#REF!</v>
      </c>
      <c r="AY196" s="140">
        <f>IF(L196="",10^30,SQRT(BA194)*(BA196^2)*(N(AN194)+N(AN196)+N(AO194)+N(AV194))/(100000*L196*M194))</f>
        <v>1E+30</v>
      </c>
      <c r="AZ196" s="141"/>
      <c r="BA196" s="114">
        <f>IF(AND(J194="",SUM(S194:S197)&lt;&gt;0),BA192,J194)</f>
        <v>0</v>
      </c>
      <c r="BB196" s="115">
        <f>IF(AND(BA194=3,S196&lt;&gt;""),1,0)</f>
        <v>0</v>
      </c>
      <c r="BC196" s="52"/>
      <c r="BD196" s="1"/>
      <c r="BH196" s="162"/>
      <c r="BI196" s="162"/>
      <c r="BJ196" s="4"/>
      <c r="BK196" s="4"/>
    </row>
    <row r="197" spans="1:63" ht="16.5" hidden="1" customHeight="1" x14ac:dyDescent="0.15">
      <c r="A197" s="159"/>
      <c r="B197" s="159"/>
      <c r="C197" s="159"/>
      <c r="D197" s="381"/>
      <c r="E197" s="384"/>
      <c r="F197" s="371"/>
      <c r="G197" s="371"/>
      <c r="H197" s="371"/>
      <c r="I197" s="371"/>
      <c r="J197" s="371"/>
      <c r="K197" s="372"/>
      <c r="L197" s="361" t="str">
        <f>IF(M194="","",L196*1000*M194/(SQRT(BA194)*BA196))</f>
        <v/>
      </c>
      <c r="M197" s="362"/>
      <c r="N197" s="405"/>
      <c r="O197" s="142"/>
      <c r="P197" s="143"/>
      <c r="Q197" s="144"/>
      <c r="R197" s="145"/>
      <c r="S197" s="146" t="str">
        <f>IF(R197="","",IF(Q197="",P197/R197,P197/(Q197*R197)))</f>
        <v/>
      </c>
      <c r="T197" s="147"/>
      <c r="U197" s="148" t="str">
        <f>IF(OR(BA196="",S197=""),"",S197*1000*T197/(SQRT(BA194)*BA196))</f>
        <v/>
      </c>
      <c r="V197" s="149" t="str">
        <f>IF(AND(N(U194)=0,N(U195)=0,N(U196)=0,N(U197)=0),"",IF(V194&gt;=0,SQRT(ABS(V194^2-V196^2)),-SQRT(V194^2-V196^2)))</f>
        <v/>
      </c>
      <c r="W197" s="378"/>
      <c r="X197" s="243" t="str">
        <f>IF(Y196="","",AQ194*Z196*AR194*((1+0.00393*(F197-20))/1.2751)/Y196)</f>
        <v/>
      </c>
      <c r="Y197" s="244"/>
      <c r="Z197" s="363" t="str">
        <f>IF(Y196="","",(BA197/50)*AQ194*Z196*AR195/Y196)</f>
        <v/>
      </c>
      <c r="AA197" s="364"/>
      <c r="AB197" s="365" t="str">
        <f>IF(AC196="","",AQ194*AD196*AR196*((1+0.00393*(F197-20))/1.2751)/AC196)</f>
        <v/>
      </c>
      <c r="AC197" s="244"/>
      <c r="AD197" s="363" t="str">
        <f>IF(AC196="","",(BA197/50)*AQ194*AD196*AR197/AC196)</f>
        <v/>
      </c>
      <c r="AE197" s="366"/>
      <c r="AF197" s="150" t="str">
        <f>IF(AND(AX194&lt;&gt;"",D194=""),AX194,"")</f>
        <v/>
      </c>
      <c r="AG197" s="243" t="str">
        <f>IF(AP196="","",AP196)</f>
        <v/>
      </c>
      <c r="AH197" s="244"/>
      <c r="AI197" s="151" t="str">
        <f>IF(AP197="","",AP197)</f>
        <v/>
      </c>
      <c r="AJ197" s="266"/>
      <c r="AK197" s="259"/>
      <c r="AL197" s="152"/>
      <c r="AM197" s="59"/>
      <c r="AN197" s="153" t="b">
        <f>IF(BA194="","",IF(AND(BA194=3,F196=50,L194="油入自冷"),VLOOKUP(L196,変３,3,FALSE),IF(AND(BA194=3,F196=50,L194="モ－ルド絶縁"),VLOOKUP(L196,変３,8,FALSE),IF(AND(BA194=3,F196=60,L194="油入自冷"),VLOOKUP(L196,変３,13,FALSE),IF(AND(BA194=3,F196=60,L194="モ－ルド絶縁"),VLOOKUP(L196,変３,18,FALSE),FALSE)))))</f>
        <v>0</v>
      </c>
      <c r="AO197" s="153" t="str">
        <f>IF(AND(L190="",N(AY195)&lt;10^29),AY195,"")</f>
        <v/>
      </c>
      <c r="AP197" s="154" t="str">
        <f>IF(V194="","",IF(AND(N(V197)=0,N(AP195)=0),0,(AQ197-AP195*(AQ196^2+AQ197^2))/((AQ196*AP195)^2+(AP195*AQ197-1)^2)))</f>
        <v/>
      </c>
      <c r="AQ197" s="155">
        <f>IF(N(V197)=0,10^30,V197)</f>
        <v>1E+30</v>
      </c>
      <c r="AR197" s="153" t="str">
        <f>IF(AB194="","",IF(AB194="600V IV",VLOOKUP(AB196,ＩＶ,3,FALSE),IF(AB194="600V CV-T",VLOOKUP(AB196,ＣＶＴ,3,FALSE),IF(OR(AB194="600V CV-1C",AB194="600V CV-2C",AB194="600V CV-3C",AB194="600V CV-4C"),VLOOKUP(AB196,ＣＶ２３Ｃ,3,FALSE),VLOOKUP(AB196,ＣＵＳＥＲ,3,FALSE)))))</f>
        <v/>
      </c>
      <c r="AS197" s="155" t="str">
        <f>IF(OR(AND(AS198="",AS199=""),AND(D194="",D198&lt;&gt;"")),AS195,(AS195*(AT198^2+AT199^2)+AT199*(AS194^2+AS195^2))/((AS194+AT198)^2+(AS195+AT199)^2))</f>
        <v/>
      </c>
      <c r="AT197" s="156" t="str">
        <f>IF(Z197="",AS197,N(AS197)+(Z197/1000))</f>
        <v/>
      </c>
      <c r="AU197" s="156" t="str">
        <f>IF(AU195="","",(AT197*(AU194^2+AU195^2)+AU195*(AT196^2+AT197^2))/((AT196+AU194)^2+(AT197+AU195)^2))</f>
        <v/>
      </c>
      <c r="AV197" s="156" t="e">
        <f>AV193+AV196</f>
        <v>#REF!</v>
      </c>
      <c r="AW197" s="155" t="str">
        <f>IF(AO197="","",AW195+AO197)</f>
        <v/>
      </c>
      <c r="AX197" s="157"/>
      <c r="AY197" s="140">
        <f>IF(L196="",10^30,SQRT(BA194)*(BA196^2)*(N(AN195)+N(AN197)+N(AO195)+N(AV195))/(100000*L196*M194))</f>
        <v>1E+30</v>
      </c>
      <c r="AZ197" s="141"/>
      <c r="BA197" s="114">
        <f>IF(AND(F196="",SUM(S194:S197)&lt;&gt;0),BA193,F196)</f>
        <v>0</v>
      </c>
      <c r="BB197" s="115">
        <f>IF(AND(BA194=3,S197&lt;&gt;""),1,0)</f>
        <v>0</v>
      </c>
      <c r="BC197" s="52"/>
      <c r="BD197" s="1"/>
      <c r="BH197" s="162"/>
      <c r="BI197" s="162"/>
      <c r="BJ197" s="4"/>
      <c r="BK197" s="4"/>
    </row>
    <row r="198" spans="1:63" ht="36" customHeight="1" thickBot="1" x14ac:dyDescent="0.2">
      <c r="D198" s="160"/>
      <c r="E198" s="303" t="s">
        <v>67</v>
      </c>
      <c r="F198" s="304"/>
      <c r="G198" s="304"/>
      <c r="H198" s="304"/>
      <c r="I198" s="304"/>
      <c r="J198" s="304"/>
      <c r="K198" s="304"/>
      <c r="L198" s="304"/>
      <c r="M198" s="304"/>
      <c r="N198" s="304"/>
      <c r="O198" s="304"/>
      <c r="P198" s="304"/>
      <c r="Q198" s="304"/>
      <c r="R198" s="305"/>
      <c r="S198" s="300" t="s">
        <v>202</v>
      </c>
      <c r="T198" s="301"/>
      <c r="U198" s="301"/>
      <c r="V198" s="301"/>
      <c r="W198" s="301"/>
      <c r="X198" s="302"/>
      <c r="Y198" s="297" t="s">
        <v>145</v>
      </c>
      <c r="Z198" s="298"/>
      <c r="AA198" s="298"/>
      <c r="AB198" s="298"/>
      <c r="AC198" s="298"/>
      <c r="AD198" s="298"/>
      <c r="AE198" s="299"/>
      <c r="AF198" s="294"/>
      <c r="AG198" s="295"/>
      <c r="AH198" s="296"/>
      <c r="AI198" s="291" t="s">
        <v>68</v>
      </c>
      <c r="AJ198" s="292"/>
      <c r="AK198" s="293"/>
      <c r="AL198" s="161"/>
      <c r="BD198" s="2" t="str">
        <f>IF(OR(E198="",Y198="",AI198="",BD191="",BI190=0),"入力未完","入力完了")</f>
        <v>入力未完</v>
      </c>
      <c r="BH198" s="162"/>
      <c r="BI198" s="162"/>
      <c r="BJ198" s="4"/>
      <c r="BK198" s="4"/>
    </row>
    <row r="199" spans="1:63" x14ac:dyDescent="0.15">
      <c r="AL199" s="3" t="s">
        <v>203</v>
      </c>
    </row>
  </sheetData>
  <sheetProtection password="B220" sheet="1" objects="1" scenarios="1"/>
  <mergeCells count="1612">
    <mergeCell ref="N5:O5"/>
    <mergeCell ref="P5:R5"/>
    <mergeCell ref="C114:C117"/>
    <mergeCell ref="D114:D117"/>
    <mergeCell ref="E114:E117"/>
    <mergeCell ref="F114:F115"/>
    <mergeCell ref="K114:K115"/>
    <mergeCell ref="L114:L115"/>
    <mergeCell ref="N114:N117"/>
    <mergeCell ref="V114:V115"/>
    <mergeCell ref="F116:K116"/>
    <mergeCell ref="L116:M116"/>
    <mergeCell ref="F117:K117"/>
    <mergeCell ref="L117:M117"/>
    <mergeCell ref="G114:G115"/>
    <mergeCell ref="H114:H115"/>
    <mergeCell ref="AE114:AE115"/>
    <mergeCell ref="AG114:AH114"/>
    <mergeCell ref="AJ114:AK115"/>
    <mergeCell ref="AG115:AH115"/>
    <mergeCell ref="AI115:AI116"/>
    <mergeCell ref="W114:W115"/>
    <mergeCell ref="X114:Z115"/>
    <mergeCell ref="AA114:AA115"/>
    <mergeCell ref="AB114:AD115"/>
    <mergeCell ref="W116:W117"/>
    <mergeCell ref="AG116:AH116"/>
    <mergeCell ref="AJ116:AJ117"/>
    <mergeCell ref="AK116:AK117"/>
    <mergeCell ref="X117:Y117"/>
    <mergeCell ref="Z117:AA117"/>
    <mergeCell ref="AB117:AC117"/>
    <mergeCell ref="AD117:AE117"/>
    <mergeCell ref="AG117:AH117"/>
    <mergeCell ref="C110:C113"/>
    <mergeCell ref="D110:D113"/>
    <mergeCell ref="E110:E113"/>
    <mergeCell ref="F110:F111"/>
    <mergeCell ref="K110:K111"/>
    <mergeCell ref="L110:L111"/>
    <mergeCell ref="N110:N113"/>
    <mergeCell ref="V110:V111"/>
    <mergeCell ref="F112:K112"/>
    <mergeCell ref="L112:M112"/>
    <mergeCell ref="F113:K113"/>
    <mergeCell ref="L113:M113"/>
    <mergeCell ref="G110:G111"/>
    <mergeCell ref="H110:H111"/>
    <mergeCell ref="AE110:AE111"/>
    <mergeCell ref="AG110:AH110"/>
    <mergeCell ref="AJ110:AK111"/>
    <mergeCell ref="AG111:AH111"/>
    <mergeCell ref="AI111:AI112"/>
    <mergeCell ref="W110:W111"/>
    <mergeCell ref="X110:Z111"/>
    <mergeCell ref="AA110:AA111"/>
    <mergeCell ref="AB110:AD111"/>
    <mergeCell ref="W112:W113"/>
    <mergeCell ref="AG112:AH112"/>
    <mergeCell ref="AJ112:AJ113"/>
    <mergeCell ref="AK112:AK113"/>
    <mergeCell ref="X113:Y113"/>
    <mergeCell ref="Z113:AA113"/>
    <mergeCell ref="AB113:AC113"/>
    <mergeCell ref="AD113:AE113"/>
    <mergeCell ref="AG113:AH113"/>
    <mergeCell ref="C106:C109"/>
    <mergeCell ref="D106:D109"/>
    <mergeCell ref="E106:E109"/>
    <mergeCell ref="F106:F107"/>
    <mergeCell ref="K106:K107"/>
    <mergeCell ref="L106:L107"/>
    <mergeCell ref="N106:N109"/>
    <mergeCell ref="V106:V107"/>
    <mergeCell ref="F108:K108"/>
    <mergeCell ref="L108:M108"/>
    <mergeCell ref="F109:K109"/>
    <mergeCell ref="L109:M109"/>
    <mergeCell ref="G106:G107"/>
    <mergeCell ref="H106:H107"/>
    <mergeCell ref="AE106:AE107"/>
    <mergeCell ref="AG106:AH106"/>
    <mergeCell ref="AJ106:AK107"/>
    <mergeCell ref="AG107:AH107"/>
    <mergeCell ref="AI107:AI108"/>
    <mergeCell ref="W106:W107"/>
    <mergeCell ref="X106:Z107"/>
    <mergeCell ref="AA106:AA107"/>
    <mergeCell ref="AB106:AD107"/>
    <mergeCell ref="W108:W109"/>
    <mergeCell ref="AG108:AH108"/>
    <mergeCell ref="AJ108:AJ109"/>
    <mergeCell ref="AK108:AK109"/>
    <mergeCell ref="X109:Y109"/>
    <mergeCell ref="Z109:AA109"/>
    <mergeCell ref="AB109:AC109"/>
    <mergeCell ref="AD109:AE109"/>
    <mergeCell ref="AG109:AH109"/>
    <mergeCell ref="C102:C105"/>
    <mergeCell ref="D102:D105"/>
    <mergeCell ref="E102:E105"/>
    <mergeCell ref="F102:F103"/>
    <mergeCell ref="K102:K103"/>
    <mergeCell ref="L102:L103"/>
    <mergeCell ref="N102:N105"/>
    <mergeCell ref="V102:V103"/>
    <mergeCell ref="F104:K104"/>
    <mergeCell ref="L104:M104"/>
    <mergeCell ref="F105:K105"/>
    <mergeCell ref="L105:M105"/>
    <mergeCell ref="G102:G103"/>
    <mergeCell ref="H102:H103"/>
    <mergeCell ref="AE102:AE103"/>
    <mergeCell ref="AG102:AH102"/>
    <mergeCell ref="AJ102:AK103"/>
    <mergeCell ref="AG103:AH103"/>
    <mergeCell ref="AI103:AI104"/>
    <mergeCell ref="W102:W103"/>
    <mergeCell ref="X102:Z103"/>
    <mergeCell ref="AA102:AA103"/>
    <mergeCell ref="AB102:AD103"/>
    <mergeCell ref="W104:W105"/>
    <mergeCell ref="AG104:AH104"/>
    <mergeCell ref="AJ104:AJ105"/>
    <mergeCell ref="AK104:AK105"/>
    <mergeCell ref="X105:Y105"/>
    <mergeCell ref="Z105:AA105"/>
    <mergeCell ref="AB105:AC105"/>
    <mergeCell ref="AD105:AE105"/>
    <mergeCell ref="AG105:AH105"/>
    <mergeCell ref="C98:C101"/>
    <mergeCell ref="D98:D101"/>
    <mergeCell ref="E98:E101"/>
    <mergeCell ref="F98:F99"/>
    <mergeCell ref="K98:K99"/>
    <mergeCell ref="L98:L99"/>
    <mergeCell ref="N98:N101"/>
    <mergeCell ref="V98:V99"/>
    <mergeCell ref="F100:K100"/>
    <mergeCell ref="L100:M100"/>
    <mergeCell ref="F101:K101"/>
    <mergeCell ref="L101:M101"/>
    <mergeCell ref="G98:G99"/>
    <mergeCell ref="H98:H99"/>
    <mergeCell ref="AE98:AE99"/>
    <mergeCell ref="AG98:AH98"/>
    <mergeCell ref="AJ98:AK99"/>
    <mergeCell ref="AG99:AH99"/>
    <mergeCell ref="AI99:AI100"/>
    <mergeCell ref="W98:W99"/>
    <mergeCell ref="X98:Z99"/>
    <mergeCell ref="AA98:AA99"/>
    <mergeCell ref="AB98:AD99"/>
    <mergeCell ref="W100:W101"/>
    <mergeCell ref="AG100:AH100"/>
    <mergeCell ref="AJ100:AJ101"/>
    <mergeCell ref="AK100:AK101"/>
    <mergeCell ref="X101:Y101"/>
    <mergeCell ref="Z101:AA101"/>
    <mergeCell ref="AB101:AC101"/>
    <mergeCell ref="AD101:AE101"/>
    <mergeCell ref="AG101:AH101"/>
    <mergeCell ref="C94:C97"/>
    <mergeCell ref="D94:D97"/>
    <mergeCell ref="E94:E97"/>
    <mergeCell ref="F94:F95"/>
    <mergeCell ref="K94:K95"/>
    <mergeCell ref="L94:L95"/>
    <mergeCell ref="N94:N97"/>
    <mergeCell ref="V94:V95"/>
    <mergeCell ref="F96:K96"/>
    <mergeCell ref="L96:M96"/>
    <mergeCell ref="F97:K97"/>
    <mergeCell ref="L97:M97"/>
    <mergeCell ref="G94:G95"/>
    <mergeCell ref="H94:H95"/>
    <mergeCell ref="AE94:AE95"/>
    <mergeCell ref="AG94:AH94"/>
    <mergeCell ref="AJ94:AK95"/>
    <mergeCell ref="AG95:AH95"/>
    <mergeCell ref="AI95:AI96"/>
    <mergeCell ref="W94:W95"/>
    <mergeCell ref="X94:Z95"/>
    <mergeCell ref="AA94:AA95"/>
    <mergeCell ref="AB94:AD95"/>
    <mergeCell ref="W96:W97"/>
    <mergeCell ref="AG96:AH96"/>
    <mergeCell ref="AJ96:AJ97"/>
    <mergeCell ref="AK96:AK97"/>
    <mergeCell ref="X97:Y97"/>
    <mergeCell ref="Z97:AA97"/>
    <mergeCell ref="AB97:AC97"/>
    <mergeCell ref="AD97:AE97"/>
    <mergeCell ref="AG97:AH97"/>
    <mergeCell ref="C90:C93"/>
    <mergeCell ref="D90:D93"/>
    <mergeCell ref="E90:E93"/>
    <mergeCell ref="F90:F91"/>
    <mergeCell ref="K90:K91"/>
    <mergeCell ref="L90:L91"/>
    <mergeCell ref="N90:N93"/>
    <mergeCell ref="V90:V91"/>
    <mergeCell ref="F92:K92"/>
    <mergeCell ref="L92:M92"/>
    <mergeCell ref="F93:K93"/>
    <mergeCell ref="L93:M93"/>
    <mergeCell ref="G90:G91"/>
    <mergeCell ref="H90:H91"/>
    <mergeCell ref="AE90:AE91"/>
    <mergeCell ref="AG90:AH90"/>
    <mergeCell ref="AJ90:AK91"/>
    <mergeCell ref="AG91:AH91"/>
    <mergeCell ref="AI91:AI92"/>
    <mergeCell ref="W90:W91"/>
    <mergeCell ref="X90:Z91"/>
    <mergeCell ref="AA90:AA91"/>
    <mergeCell ref="AB90:AD91"/>
    <mergeCell ref="W92:W93"/>
    <mergeCell ref="AG92:AH92"/>
    <mergeCell ref="AJ92:AJ93"/>
    <mergeCell ref="AK92:AK93"/>
    <mergeCell ref="X93:Y93"/>
    <mergeCell ref="Z93:AA93"/>
    <mergeCell ref="AB93:AC93"/>
    <mergeCell ref="AD93:AE93"/>
    <mergeCell ref="AG93:AH93"/>
    <mergeCell ref="C86:C89"/>
    <mergeCell ref="D86:D89"/>
    <mergeCell ref="E86:E89"/>
    <mergeCell ref="F86:F87"/>
    <mergeCell ref="K86:K87"/>
    <mergeCell ref="L86:L87"/>
    <mergeCell ref="N86:N89"/>
    <mergeCell ref="V86:V87"/>
    <mergeCell ref="F88:K88"/>
    <mergeCell ref="L88:M88"/>
    <mergeCell ref="F89:K89"/>
    <mergeCell ref="L89:M89"/>
    <mergeCell ref="G86:G87"/>
    <mergeCell ref="H86:H87"/>
    <mergeCell ref="AE86:AE87"/>
    <mergeCell ref="AG86:AH86"/>
    <mergeCell ref="AJ86:AK87"/>
    <mergeCell ref="AG87:AH87"/>
    <mergeCell ref="AI87:AI88"/>
    <mergeCell ref="W86:W87"/>
    <mergeCell ref="X86:Z87"/>
    <mergeCell ref="AA86:AA87"/>
    <mergeCell ref="AB86:AD87"/>
    <mergeCell ref="W88:W89"/>
    <mergeCell ref="AG88:AH88"/>
    <mergeCell ref="AJ88:AJ89"/>
    <mergeCell ref="AK88:AK89"/>
    <mergeCell ref="X89:Y89"/>
    <mergeCell ref="Z89:AA89"/>
    <mergeCell ref="AB89:AC89"/>
    <mergeCell ref="AD89:AE89"/>
    <mergeCell ref="AG89:AH89"/>
    <mergeCell ref="C82:C85"/>
    <mergeCell ref="D82:D85"/>
    <mergeCell ref="E82:E85"/>
    <mergeCell ref="F82:F83"/>
    <mergeCell ref="K82:K83"/>
    <mergeCell ref="L82:L83"/>
    <mergeCell ref="N82:N85"/>
    <mergeCell ref="V82:V83"/>
    <mergeCell ref="F84:K84"/>
    <mergeCell ref="L84:M84"/>
    <mergeCell ref="F85:K85"/>
    <mergeCell ref="L85:M85"/>
    <mergeCell ref="G82:G83"/>
    <mergeCell ref="H82:H83"/>
    <mergeCell ref="AE82:AE83"/>
    <mergeCell ref="AG82:AH82"/>
    <mergeCell ref="AJ82:AK83"/>
    <mergeCell ref="AG83:AH83"/>
    <mergeCell ref="AI83:AI84"/>
    <mergeCell ref="W82:W83"/>
    <mergeCell ref="X82:Z83"/>
    <mergeCell ref="AA82:AA83"/>
    <mergeCell ref="AB82:AD83"/>
    <mergeCell ref="W84:W85"/>
    <mergeCell ref="AG84:AH84"/>
    <mergeCell ref="AJ84:AJ85"/>
    <mergeCell ref="AK84:AK85"/>
    <mergeCell ref="X85:Y85"/>
    <mergeCell ref="Z85:AA85"/>
    <mergeCell ref="AB85:AC85"/>
    <mergeCell ref="AD85:AE85"/>
    <mergeCell ref="AG85:AH85"/>
    <mergeCell ref="C78:C81"/>
    <mergeCell ref="D78:D81"/>
    <mergeCell ref="E78:E81"/>
    <mergeCell ref="F78:F79"/>
    <mergeCell ref="K78:K79"/>
    <mergeCell ref="L78:L79"/>
    <mergeCell ref="N78:N81"/>
    <mergeCell ref="V78:V79"/>
    <mergeCell ref="F80:K80"/>
    <mergeCell ref="L80:M80"/>
    <mergeCell ref="F81:K81"/>
    <mergeCell ref="L81:M81"/>
    <mergeCell ref="G78:G79"/>
    <mergeCell ref="H78:H79"/>
    <mergeCell ref="AE78:AE79"/>
    <mergeCell ref="AG78:AH78"/>
    <mergeCell ref="AJ78:AK79"/>
    <mergeCell ref="AG79:AH79"/>
    <mergeCell ref="AI79:AI80"/>
    <mergeCell ref="W78:W79"/>
    <mergeCell ref="X78:Z79"/>
    <mergeCell ref="AA78:AA79"/>
    <mergeCell ref="AB78:AD79"/>
    <mergeCell ref="W80:W81"/>
    <mergeCell ref="AG80:AH80"/>
    <mergeCell ref="AJ80:AJ81"/>
    <mergeCell ref="AK80:AK81"/>
    <mergeCell ref="X81:Y81"/>
    <mergeCell ref="Z81:AA81"/>
    <mergeCell ref="AB81:AC81"/>
    <mergeCell ref="AD81:AE81"/>
    <mergeCell ref="AG81:AH81"/>
    <mergeCell ref="C74:C77"/>
    <mergeCell ref="D74:D77"/>
    <mergeCell ref="E74:E77"/>
    <mergeCell ref="F74:F75"/>
    <mergeCell ref="K74:K75"/>
    <mergeCell ref="L74:L75"/>
    <mergeCell ref="N74:N77"/>
    <mergeCell ref="V74:V75"/>
    <mergeCell ref="F76:K76"/>
    <mergeCell ref="L76:M76"/>
    <mergeCell ref="F77:K77"/>
    <mergeCell ref="L77:M77"/>
    <mergeCell ref="G74:G75"/>
    <mergeCell ref="H74:H75"/>
    <mergeCell ref="AE74:AE75"/>
    <mergeCell ref="AG74:AH74"/>
    <mergeCell ref="AJ74:AK75"/>
    <mergeCell ref="AG75:AH75"/>
    <mergeCell ref="AI75:AI76"/>
    <mergeCell ref="W74:W75"/>
    <mergeCell ref="X74:Z75"/>
    <mergeCell ref="AA74:AA75"/>
    <mergeCell ref="AB74:AD75"/>
    <mergeCell ref="W76:W77"/>
    <mergeCell ref="AG76:AH76"/>
    <mergeCell ref="AJ76:AJ77"/>
    <mergeCell ref="AK76:AK77"/>
    <mergeCell ref="X77:Y77"/>
    <mergeCell ref="Z77:AA77"/>
    <mergeCell ref="AB77:AC77"/>
    <mergeCell ref="AD77:AE77"/>
    <mergeCell ref="AG77:AH77"/>
    <mergeCell ref="C70:C73"/>
    <mergeCell ref="D70:D73"/>
    <mergeCell ref="E70:E73"/>
    <mergeCell ref="F70:F71"/>
    <mergeCell ref="K70:K71"/>
    <mergeCell ref="L70:L71"/>
    <mergeCell ref="N70:N73"/>
    <mergeCell ref="V70:V71"/>
    <mergeCell ref="F72:K72"/>
    <mergeCell ref="L72:M72"/>
    <mergeCell ref="F73:K73"/>
    <mergeCell ref="L73:M73"/>
    <mergeCell ref="G70:G71"/>
    <mergeCell ref="H70:H71"/>
    <mergeCell ref="AE70:AE71"/>
    <mergeCell ref="AG70:AH70"/>
    <mergeCell ref="AJ70:AK71"/>
    <mergeCell ref="AG71:AH71"/>
    <mergeCell ref="AI71:AI72"/>
    <mergeCell ref="W70:W71"/>
    <mergeCell ref="X70:Z71"/>
    <mergeCell ref="AA70:AA71"/>
    <mergeCell ref="AB70:AD71"/>
    <mergeCell ref="W72:W73"/>
    <mergeCell ref="AG72:AH72"/>
    <mergeCell ref="AJ72:AJ73"/>
    <mergeCell ref="AK72:AK73"/>
    <mergeCell ref="X73:Y73"/>
    <mergeCell ref="Z73:AA73"/>
    <mergeCell ref="AB73:AC73"/>
    <mergeCell ref="AD73:AE73"/>
    <mergeCell ref="AG73:AH73"/>
    <mergeCell ref="C66:C69"/>
    <mergeCell ref="D66:D69"/>
    <mergeCell ref="E66:E69"/>
    <mergeCell ref="F66:F67"/>
    <mergeCell ref="K66:K67"/>
    <mergeCell ref="L66:L67"/>
    <mergeCell ref="N66:N69"/>
    <mergeCell ref="V66:V67"/>
    <mergeCell ref="F68:K68"/>
    <mergeCell ref="L68:M68"/>
    <mergeCell ref="F69:K69"/>
    <mergeCell ref="L69:M69"/>
    <mergeCell ref="G66:G67"/>
    <mergeCell ref="H66:H67"/>
    <mergeCell ref="AE66:AE67"/>
    <mergeCell ref="AG66:AH66"/>
    <mergeCell ref="AJ66:AK67"/>
    <mergeCell ref="AG67:AH67"/>
    <mergeCell ref="AI67:AI68"/>
    <mergeCell ref="W66:W67"/>
    <mergeCell ref="X66:Z67"/>
    <mergeCell ref="AA66:AA67"/>
    <mergeCell ref="AB66:AD67"/>
    <mergeCell ref="W68:W69"/>
    <mergeCell ref="AG68:AH68"/>
    <mergeCell ref="AJ68:AJ69"/>
    <mergeCell ref="AK68:AK69"/>
    <mergeCell ref="X69:Y69"/>
    <mergeCell ref="Z69:AA69"/>
    <mergeCell ref="AB69:AC69"/>
    <mergeCell ref="AD69:AE69"/>
    <mergeCell ref="AG69:AH69"/>
    <mergeCell ref="C62:C65"/>
    <mergeCell ref="D62:D65"/>
    <mergeCell ref="E62:E65"/>
    <mergeCell ref="F62:F63"/>
    <mergeCell ref="K62:K63"/>
    <mergeCell ref="L62:L63"/>
    <mergeCell ref="N62:N65"/>
    <mergeCell ref="V62:V63"/>
    <mergeCell ref="F64:K64"/>
    <mergeCell ref="L64:M64"/>
    <mergeCell ref="F65:K65"/>
    <mergeCell ref="L65:M65"/>
    <mergeCell ref="G62:G63"/>
    <mergeCell ref="H62:H63"/>
    <mergeCell ref="AE62:AE63"/>
    <mergeCell ref="AG62:AH62"/>
    <mergeCell ref="AJ62:AK63"/>
    <mergeCell ref="AG63:AH63"/>
    <mergeCell ref="AI63:AI64"/>
    <mergeCell ref="W62:W63"/>
    <mergeCell ref="X62:Z63"/>
    <mergeCell ref="AA62:AA63"/>
    <mergeCell ref="AB62:AD63"/>
    <mergeCell ref="W64:W65"/>
    <mergeCell ref="AG64:AH64"/>
    <mergeCell ref="AJ64:AJ65"/>
    <mergeCell ref="AK64:AK65"/>
    <mergeCell ref="X65:Y65"/>
    <mergeCell ref="Z65:AA65"/>
    <mergeCell ref="AB65:AC65"/>
    <mergeCell ref="AD65:AE65"/>
    <mergeCell ref="AG65:AH65"/>
    <mergeCell ref="AJ194:AK195"/>
    <mergeCell ref="AG195:AH195"/>
    <mergeCell ref="AI195:AI196"/>
    <mergeCell ref="AK196:AK197"/>
    <mergeCell ref="AG196:AH196"/>
    <mergeCell ref="AJ196:AJ197"/>
    <mergeCell ref="AD197:AE197"/>
    <mergeCell ref="AG197:AH197"/>
    <mergeCell ref="L197:M197"/>
    <mergeCell ref="X197:Y197"/>
    <mergeCell ref="Z197:AA197"/>
    <mergeCell ref="AB197:AC197"/>
    <mergeCell ref="I58:I59"/>
    <mergeCell ref="J58:J59"/>
    <mergeCell ref="C58:C61"/>
    <mergeCell ref="D58:D61"/>
    <mergeCell ref="E58:E61"/>
    <mergeCell ref="F58:F59"/>
    <mergeCell ref="K58:K59"/>
    <mergeCell ref="L58:L59"/>
    <mergeCell ref="N58:N61"/>
    <mergeCell ref="V58:V59"/>
    <mergeCell ref="F60:K60"/>
    <mergeCell ref="L60:M60"/>
    <mergeCell ref="F61:K61"/>
    <mergeCell ref="L61:M61"/>
    <mergeCell ref="G58:G59"/>
    <mergeCell ref="H58:H59"/>
    <mergeCell ref="AE58:AE59"/>
    <mergeCell ref="AG58:AH58"/>
    <mergeCell ref="AJ58:AK59"/>
    <mergeCell ref="AG59:AH59"/>
    <mergeCell ref="D190:D193"/>
    <mergeCell ref="AG16:AH16"/>
    <mergeCell ref="X14:Z15"/>
    <mergeCell ref="AA14:AA15"/>
    <mergeCell ref="AB14:AD15"/>
    <mergeCell ref="AE14:AE15"/>
    <mergeCell ref="L14:L15"/>
    <mergeCell ref="N14:N17"/>
    <mergeCell ref="F16:K16"/>
    <mergeCell ref="H14:H15"/>
    <mergeCell ref="D194:D197"/>
    <mergeCell ref="E194:E197"/>
    <mergeCell ref="F194:F195"/>
    <mergeCell ref="G194:G195"/>
    <mergeCell ref="F196:K196"/>
    <mergeCell ref="F197:K197"/>
    <mergeCell ref="H194:H195"/>
    <mergeCell ref="I194:I195"/>
    <mergeCell ref="J194:J195"/>
    <mergeCell ref="K194:K195"/>
    <mergeCell ref="L194:L195"/>
    <mergeCell ref="AA194:AA195"/>
    <mergeCell ref="AB194:AD195"/>
    <mergeCell ref="AE194:AE195"/>
    <mergeCell ref="N194:N197"/>
    <mergeCell ref="V194:V195"/>
    <mergeCell ref="W194:W195"/>
    <mergeCell ref="X194:Z195"/>
    <mergeCell ref="L196:M196"/>
    <mergeCell ref="W196:W197"/>
    <mergeCell ref="AG194:AH194"/>
    <mergeCell ref="W58:W59"/>
    <mergeCell ref="J14:J15"/>
    <mergeCell ref="K14:K15"/>
    <mergeCell ref="F17:K17"/>
    <mergeCell ref="AD189:AE189"/>
    <mergeCell ref="AE186:AE187"/>
    <mergeCell ref="AG186:AH186"/>
    <mergeCell ref="W14:W15"/>
    <mergeCell ref="L16:M16"/>
    <mergeCell ref="W16:W17"/>
    <mergeCell ref="D14:D17"/>
    <mergeCell ref="E14:E17"/>
    <mergeCell ref="F14:F15"/>
    <mergeCell ref="G14:G15"/>
    <mergeCell ref="I14:I15"/>
    <mergeCell ref="X58:Z59"/>
    <mergeCell ref="AA58:AA59"/>
    <mergeCell ref="AB58:AD59"/>
    <mergeCell ref="W60:W61"/>
    <mergeCell ref="AG60:AH60"/>
    <mergeCell ref="X61:Y61"/>
    <mergeCell ref="Z61:AA61"/>
    <mergeCell ref="AB61:AC61"/>
    <mergeCell ref="AD61:AE61"/>
    <mergeCell ref="AG61:AH61"/>
    <mergeCell ref="I62:I63"/>
    <mergeCell ref="J62:J63"/>
    <mergeCell ref="I66:I67"/>
    <mergeCell ref="J66:J67"/>
    <mergeCell ref="I70:I71"/>
    <mergeCell ref="I102:I103"/>
    <mergeCell ref="J102:J103"/>
    <mergeCell ref="I106:I107"/>
    <mergeCell ref="AG11:AH11"/>
    <mergeCell ref="AJ190:AK191"/>
    <mergeCell ref="AG191:AH191"/>
    <mergeCell ref="AE190:AE191"/>
    <mergeCell ref="AG190:AH190"/>
    <mergeCell ref="AB11:AB12"/>
    <mergeCell ref="S11:S12"/>
    <mergeCell ref="L11:L12"/>
    <mergeCell ref="L17:M17"/>
    <mergeCell ref="X17:Y17"/>
    <mergeCell ref="Z17:AA17"/>
    <mergeCell ref="AB17:AC17"/>
    <mergeCell ref="AD17:AE17"/>
    <mergeCell ref="AG17:AH17"/>
    <mergeCell ref="AI15:AI16"/>
    <mergeCell ref="AI59:AI60"/>
    <mergeCell ref="AJ60:AJ61"/>
    <mergeCell ref="AJ188:AJ189"/>
    <mergeCell ref="AK188:AK189"/>
    <mergeCell ref="AG188:AH188"/>
    <mergeCell ref="AG189:AH189"/>
    <mergeCell ref="AI187:AI188"/>
    <mergeCell ref="AG187:AH187"/>
    <mergeCell ref="AJ186:AK187"/>
    <mergeCell ref="AK60:AK61"/>
    <mergeCell ref="AG51:AH51"/>
    <mergeCell ref="AG56:AH56"/>
    <mergeCell ref="AG57:AH57"/>
    <mergeCell ref="AI51:AI52"/>
    <mergeCell ref="AG53:AH53"/>
    <mergeCell ref="AK52:AK53"/>
    <mergeCell ref="AI39:AI40"/>
    <mergeCell ref="K190:K191"/>
    <mergeCell ref="X190:Z191"/>
    <mergeCell ref="AA190:AA191"/>
    <mergeCell ref="AB190:AD191"/>
    <mergeCell ref="W192:W193"/>
    <mergeCell ref="L193:M193"/>
    <mergeCell ref="E190:E193"/>
    <mergeCell ref="F190:F191"/>
    <mergeCell ref="G190:G191"/>
    <mergeCell ref="F192:K192"/>
    <mergeCell ref="F193:K193"/>
    <mergeCell ref="H190:H191"/>
    <mergeCell ref="I190:I191"/>
    <mergeCell ref="J190:J191"/>
    <mergeCell ref="AJ192:AJ193"/>
    <mergeCell ref="AK192:AK193"/>
    <mergeCell ref="AG193:AH193"/>
    <mergeCell ref="AG192:AH192"/>
    <mergeCell ref="AI191:AI192"/>
    <mergeCell ref="L190:L191"/>
    <mergeCell ref="N190:N193"/>
    <mergeCell ref="V190:V191"/>
    <mergeCell ref="W190:W191"/>
    <mergeCell ref="L192:M192"/>
    <mergeCell ref="Z193:AA193"/>
    <mergeCell ref="AB193:AC193"/>
    <mergeCell ref="AD193:AE193"/>
    <mergeCell ref="H22:H23"/>
    <mergeCell ref="L18:L19"/>
    <mergeCell ref="L22:L23"/>
    <mergeCell ref="D22:D25"/>
    <mergeCell ref="E22:E25"/>
    <mergeCell ref="AA22:AA23"/>
    <mergeCell ref="X25:Y25"/>
    <mergeCell ref="Z25:AA25"/>
    <mergeCell ref="X22:Z23"/>
    <mergeCell ref="F188:K188"/>
    <mergeCell ref="F189:K189"/>
    <mergeCell ref="H186:H187"/>
    <mergeCell ref="I186:I187"/>
    <mergeCell ref="J186:J187"/>
    <mergeCell ref="K186:K187"/>
    <mergeCell ref="W188:W189"/>
    <mergeCell ref="L186:L187"/>
    <mergeCell ref="N186:N189"/>
    <mergeCell ref="V186:V187"/>
    <mergeCell ref="L189:M189"/>
    <mergeCell ref="L188:M188"/>
    <mergeCell ref="W186:W187"/>
    <mergeCell ref="D186:D189"/>
    <mergeCell ref="J106:J107"/>
    <mergeCell ref="I110:I111"/>
    <mergeCell ref="J110:J111"/>
    <mergeCell ref="I114:I115"/>
    <mergeCell ref="J114:J115"/>
    <mergeCell ref="J70:J71"/>
    <mergeCell ref="I74:I75"/>
    <mergeCell ref="J74:J75"/>
    <mergeCell ref="I78:I79"/>
    <mergeCell ref="D9:D13"/>
    <mergeCell ref="X182:Z183"/>
    <mergeCell ref="AA182:AA183"/>
    <mergeCell ref="AB182:AD183"/>
    <mergeCell ref="L20:M20"/>
    <mergeCell ref="L21:M21"/>
    <mergeCell ref="X21:Y21"/>
    <mergeCell ref="Z21:AA21"/>
    <mergeCell ref="AB21:AC21"/>
    <mergeCell ref="AD21:AE21"/>
    <mergeCell ref="AE18:AE19"/>
    <mergeCell ref="X9:AA9"/>
    <mergeCell ref="X10:Z10"/>
    <mergeCell ref="Y11:Y12"/>
    <mergeCell ref="AA11:AA12"/>
    <mergeCell ref="AA18:AA19"/>
    <mergeCell ref="X13:AA13"/>
    <mergeCell ref="AE11:AE12"/>
    <mergeCell ref="AB13:AE13"/>
    <mergeCell ref="X11:X12"/>
    <mergeCell ref="E9:E13"/>
    <mergeCell ref="F13:K13"/>
    <mergeCell ref="AB18:AD19"/>
    <mergeCell ref="F12:K12"/>
    <mergeCell ref="R11:R12"/>
    <mergeCell ref="W10:W11"/>
    <mergeCell ref="L10:M10"/>
    <mergeCell ref="N10:N11"/>
    <mergeCell ref="Q11:Q12"/>
    <mergeCell ref="Z11:Z12"/>
    <mergeCell ref="D18:D21"/>
    <mergeCell ref="E18:E21"/>
    <mergeCell ref="J78:J79"/>
    <mergeCell ref="I82:I83"/>
    <mergeCell ref="J82:J83"/>
    <mergeCell ref="I86:I87"/>
    <mergeCell ref="J86:J87"/>
    <mergeCell ref="I90:I91"/>
    <mergeCell ref="J90:J91"/>
    <mergeCell ref="F37:K37"/>
    <mergeCell ref="I34:I35"/>
    <mergeCell ref="AG182:AH182"/>
    <mergeCell ref="X185:Y185"/>
    <mergeCell ref="Z185:AA185"/>
    <mergeCell ref="AB185:AC185"/>
    <mergeCell ref="AD185:AE185"/>
    <mergeCell ref="N182:N185"/>
    <mergeCell ref="V182:V183"/>
    <mergeCell ref="W182:W183"/>
    <mergeCell ref="L184:M184"/>
    <mergeCell ref="W184:W185"/>
    <mergeCell ref="L185:M185"/>
    <mergeCell ref="K178:K179"/>
    <mergeCell ref="F181:K181"/>
    <mergeCell ref="L178:L179"/>
    <mergeCell ref="X178:Z179"/>
    <mergeCell ref="X50:Z51"/>
    <mergeCell ref="X54:Z55"/>
    <mergeCell ref="X57:Y57"/>
    <mergeCell ref="X46:Z47"/>
    <mergeCell ref="X49:Y49"/>
    <mergeCell ref="I94:I95"/>
    <mergeCell ref="J94:J95"/>
    <mergeCell ref="I98:I99"/>
    <mergeCell ref="J98:J99"/>
    <mergeCell ref="L26:L27"/>
    <mergeCell ref="F57:K57"/>
    <mergeCell ref="J54:J55"/>
    <mergeCell ref="K54:K55"/>
    <mergeCell ref="N178:N181"/>
    <mergeCell ref="L42:L43"/>
    <mergeCell ref="V178:V179"/>
    <mergeCell ref="N54:N57"/>
    <mergeCell ref="L52:M52"/>
    <mergeCell ref="L57:M57"/>
    <mergeCell ref="L48:M48"/>
    <mergeCell ref="N46:N49"/>
    <mergeCell ref="L49:M49"/>
    <mergeCell ref="L56:M56"/>
    <mergeCell ref="W178:W179"/>
    <mergeCell ref="W46:W47"/>
    <mergeCell ref="W56:W57"/>
    <mergeCell ref="W48:W49"/>
    <mergeCell ref="V38:V39"/>
    <mergeCell ref="W52:W53"/>
    <mergeCell ref="V54:V55"/>
    <mergeCell ref="N122:N125"/>
    <mergeCell ref="V122:V123"/>
    <mergeCell ref="W122:W123"/>
    <mergeCell ref="W124:W125"/>
    <mergeCell ref="N134:N137"/>
    <mergeCell ref="V134:V135"/>
    <mergeCell ref="W134:W135"/>
    <mergeCell ref="W136:W137"/>
    <mergeCell ref="L141:M141"/>
    <mergeCell ref="L165:M165"/>
    <mergeCell ref="AJ50:AK51"/>
    <mergeCell ref="AJ52:AJ53"/>
    <mergeCell ref="AK48:AK49"/>
    <mergeCell ref="AJ46:AK47"/>
    <mergeCell ref="AI47:AI48"/>
    <mergeCell ref="AK44:AK45"/>
    <mergeCell ref="AJ48:AJ49"/>
    <mergeCell ref="AJ44:AJ45"/>
    <mergeCell ref="AK40:AK41"/>
    <mergeCell ref="AJ40:AJ41"/>
    <mergeCell ref="AJ42:AK43"/>
    <mergeCell ref="AG41:AH41"/>
    <mergeCell ref="AG40:AH40"/>
    <mergeCell ref="AG42:AH42"/>
    <mergeCell ref="AI43:AI44"/>
    <mergeCell ref="AJ38:AK39"/>
    <mergeCell ref="AG39:AH39"/>
    <mergeCell ref="AG52:AH52"/>
    <mergeCell ref="AG54:AH54"/>
    <mergeCell ref="AG50:AH50"/>
    <mergeCell ref="AG47:AH47"/>
    <mergeCell ref="AG46:AH46"/>
    <mergeCell ref="AG48:AH48"/>
    <mergeCell ref="AG49:AH49"/>
    <mergeCell ref="D54:D57"/>
    <mergeCell ref="E54:E57"/>
    <mergeCell ref="G54:G55"/>
    <mergeCell ref="H54:H55"/>
    <mergeCell ref="F54:F55"/>
    <mergeCell ref="AK184:AK185"/>
    <mergeCell ref="AG184:AH184"/>
    <mergeCell ref="AG185:AH185"/>
    <mergeCell ref="AI183:AI184"/>
    <mergeCell ref="AG183:AH183"/>
    <mergeCell ref="AJ182:AK183"/>
    <mergeCell ref="AJ184:AJ185"/>
    <mergeCell ref="AG181:AH181"/>
    <mergeCell ref="AJ180:AJ181"/>
    <mergeCell ref="AK180:AK181"/>
    <mergeCell ref="AI179:AI180"/>
    <mergeCell ref="AJ178:AK179"/>
    <mergeCell ref="AG180:AH180"/>
    <mergeCell ref="AG178:AH178"/>
    <mergeCell ref="AG179:AH179"/>
    <mergeCell ref="AJ54:AK55"/>
    <mergeCell ref="AJ56:AJ57"/>
    <mergeCell ref="AK56:AK57"/>
    <mergeCell ref="AG55:AH55"/>
    <mergeCell ref="AI55:AI56"/>
    <mergeCell ref="D178:D181"/>
    <mergeCell ref="E178:E181"/>
    <mergeCell ref="F178:F179"/>
    <mergeCell ref="G178:G179"/>
    <mergeCell ref="F180:K180"/>
    <mergeCell ref="H178:H179"/>
    <mergeCell ref="I178:I179"/>
    <mergeCell ref="F56:K56"/>
    <mergeCell ref="L54:L55"/>
    <mergeCell ref="I54:I55"/>
    <mergeCell ref="H18:H19"/>
    <mergeCell ref="I18:I19"/>
    <mergeCell ref="K26:K27"/>
    <mergeCell ref="K18:K19"/>
    <mergeCell ref="F24:K24"/>
    <mergeCell ref="J18:J19"/>
    <mergeCell ref="I22:I23"/>
    <mergeCell ref="F44:K44"/>
    <mergeCell ref="J22:J23"/>
    <mergeCell ref="I42:I43"/>
    <mergeCell ref="F42:F43"/>
    <mergeCell ref="J26:J27"/>
    <mergeCell ref="L28:M28"/>
    <mergeCell ref="L33:M33"/>
    <mergeCell ref="L53:M53"/>
    <mergeCell ref="I26:I27"/>
    <mergeCell ref="L122:L123"/>
    <mergeCell ref="L124:M124"/>
    <mergeCell ref="L125:M125"/>
    <mergeCell ref="L129:M129"/>
    <mergeCell ref="L134:L135"/>
    <mergeCell ref="L136:M136"/>
    <mergeCell ref="L137:M137"/>
    <mergeCell ref="AB54:AD55"/>
    <mergeCell ref="W54:W55"/>
    <mergeCell ref="AA50:AA51"/>
    <mergeCell ref="AB50:AD51"/>
    <mergeCell ref="W50:W51"/>
    <mergeCell ref="AA30:AA31"/>
    <mergeCell ref="AA26:AA27"/>
    <mergeCell ref="Z29:AA29"/>
    <mergeCell ref="W40:W41"/>
    <mergeCell ref="F22:F23"/>
    <mergeCell ref="G22:G23"/>
    <mergeCell ref="F18:F19"/>
    <mergeCell ref="G18:G19"/>
    <mergeCell ref="F20:K20"/>
    <mergeCell ref="K22:K23"/>
    <mergeCell ref="F21:K21"/>
    <mergeCell ref="F25:K25"/>
    <mergeCell ref="F28:K28"/>
    <mergeCell ref="F26:F27"/>
    <mergeCell ref="G26:G27"/>
    <mergeCell ref="H26:H27"/>
    <mergeCell ref="J30:J31"/>
    <mergeCell ref="H30:H31"/>
    <mergeCell ref="F53:K53"/>
    <mergeCell ref="V50:V51"/>
    <mergeCell ref="L50:L51"/>
    <mergeCell ref="N50:N53"/>
    <mergeCell ref="N38:N41"/>
    <mergeCell ref="L40:M40"/>
    <mergeCell ref="L41:M41"/>
    <mergeCell ref="V46:V47"/>
    <mergeCell ref="L46:L47"/>
    <mergeCell ref="X53:Y53"/>
    <mergeCell ref="Z53:AA53"/>
    <mergeCell ref="AB53:AC53"/>
    <mergeCell ref="AD53:AE53"/>
    <mergeCell ref="F9:K9"/>
    <mergeCell ref="F10:K10"/>
    <mergeCell ref="O11:O13"/>
    <mergeCell ref="O10:V10"/>
    <mergeCell ref="U11:U12"/>
    <mergeCell ref="O9:W9"/>
    <mergeCell ref="L9:N9"/>
    <mergeCell ref="V30:V31"/>
    <mergeCell ref="V34:V35"/>
    <mergeCell ref="V18:V19"/>
    <mergeCell ref="V14:V15"/>
    <mergeCell ref="V22:V23"/>
    <mergeCell ref="V26:V27"/>
    <mergeCell ref="L36:M36"/>
    <mergeCell ref="W18:W19"/>
    <mergeCell ref="N34:N37"/>
    <mergeCell ref="N18:N21"/>
    <mergeCell ref="N30:N33"/>
    <mergeCell ref="N26:N29"/>
    <mergeCell ref="W26:W27"/>
    <mergeCell ref="W28:W29"/>
    <mergeCell ref="W20:W21"/>
    <mergeCell ref="W22:W23"/>
    <mergeCell ref="W24:W25"/>
    <mergeCell ref="L25:M25"/>
    <mergeCell ref="L38:L39"/>
    <mergeCell ref="AK36:AK37"/>
    <mergeCell ref="AB34:AD35"/>
    <mergeCell ref="X34:Z35"/>
    <mergeCell ref="AJ32:AJ33"/>
    <mergeCell ref="AG36:AH36"/>
    <mergeCell ref="X37:Y37"/>
    <mergeCell ref="AB33:AC33"/>
    <mergeCell ref="Z33:AA33"/>
    <mergeCell ref="AB37:AC37"/>
    <mergeCell ref="AK32:AK33"/>
    <mergeCell ref="AD49:AE49"/>
    <mergeCell ref="AB45:AC45"/>
    <mergeCell ref="AB49:AC49"/>
    <mergeCell ref="AG33:AH33"/>
    <mergeCell ref="AG35:AH35"/>
    <mergeCell ref="AD45:AE45"/>
    <mergeCell ref="AD41:AE41"/>
    <mergeCell ref="AB41:AC41"/>
    <mergeCell ref="AG38:AH38"/>
    <mergeCell ref="AG43:AH43"/>
    <mergeCell ref="X38:Z39"/>
    <mergeCell ref="X33:Y33"/>
    <mergeCell ref="Z37:AA37"/>
    <mergeCell ref="AG45:AH45"/>
    <mergeCell ref="AJ34:AK35"/>
    <mergeCell ref="AD37:AE37"/>
    <mergeCell ref="AG37:AH37"/>
    <mergeCell ref="AE38:AE39"/>
    <mergeCell ref="AJ36:AJ37"/>
    <mergeCell ref="AE34:AE35"/>
    <mergeCell ref="AI35:AI36"/>
    <mergeCell ref="AG34:AH34"/>
    <mergeCell ref="X41:Y41"/>
    <mergeCell ref="Z41:AA41"/>
    <mergeCell ref="D46:D49"/>
    <mergeCell ref="E46:E49"/>
    <mergeCell ref="F46:F47"/>
    <mergeCell ref="G46:G47"/>
    <mergeCell ref="F48:K48"/>
    <mergeCell ref="F49:K49"/>
    <mergeCell ref="H46:H47"/>
    <mergeCell ref="I46:I47"/>
    <mergeCell ref="J46:J47"/>
    <mergeCell ref="K46:K47"/>
    <mergeCell ref="X29:Y29"/>
    <mergeCell ref="I30:I31"/>
    <mergeCell ref="L34:L35"/>
    <mergeCell ref="W30:W31"/>
    <mergeCell ref="X30:Z31"/>
    <mergeCell ref="W32:W33"/>
    <mergeCell ref="W36:W37"/>
    <mergeCell ref="W38:W39"/>
    <mergeCell ref="L44:M44"/>
    <mergeCell ref="L37:M37"/>
    <mergeCell ref="K30:K31"/>
    <mergeCell ref="F34:F35"/>
    <mergeCell ref="G34:G35"/>
    <mergeCell ref="F36:K36"/>
    <mergeCell ref="D38:D41"/>
    <mergeCell ref="E38:E41"/>
    <mergeCell ref="AA46:AA47"/>
    <mergeCell ref="Z49:AA49"/>
    <mergeCell ref="L29:M29"/>
    <mergeCell ref="F33:K33"/>
    <mergeCell ref="L182:L183"/>
    <mergeCell ref="H38:H39"/>
    <mergeCell ref="I38:I39"/>
    <mergeCell ref="J38:J39"/>
    <mergeCell ref="W42:W43"/>
    <mergeCell ref="AA42:AA43"/>
    <mergeCell ref="V42:V43"/>
    <mergeCell ref="N42:N45"/>
    <mergeCell ref="W44:W45"/>
    <mergeCell ref="X42:Z43"/>
    <mergeCell ref="AD25:AE25"/>
    <mergeCell ref="AG27:AH27"/>
    <mergeCell ref="AB26:AD27"/>
    <mergeCell ref="AE26:AE27"/>
    <mergeCell ref="AB25:AC25"/>
    <mergeCell ref="H34:H35"/>
    <mergeCell ref="K34:K35"/>
    <mergeCell ref="J34:J35"/>
    <mergeCell ref="N22:N25"/>
    <mergeCell ref="L24:M24"/>
    <mergeCell ref="AA34:AA35"/>
    <mergeCell ref="AA38:AA39"/>
    <mergeCell ref="W34:W35"/>
    <mergeCell ref="F41:K41"/>
    <mergeCell ref="AG29:AH29"/>
    <mergeCell ref="AG28:AH28"/>
    <mergeCell ref="F40:K40"/>
    <mergeCell ref="F38:F39"/>
    <mergeCell ref="G38:G39"/>
    <mergeCell ref="K38:K39"/>
    <mergeCell ref="G42:G43"/>
    <mergeCell ref="AD181:AE181"/>
    <mergeCell ref="AI198:AK198"/>
    <mergeCell ref="AF198:AH198"/>
    <mergeCell ref="Y198:AE198"/>
    <mergeCell ref="D42:D45"/>
    <mergeCell ref="E42:E45"/>
    <mergeCell ref="AG44:AH44"/>
    <mergeCell ref="F45:K45"/>
    <mergeCell ref="L45:M45"/>
    <mergeCell ref="X45:Y45"/>
    <mergeCell ref="Z45:AA45"/>
    <mergeCell ref="S198:X198"/>
    <mergeCell ref="E198:R198"/>
    <mergeCell ref="L180:M180"/>
    <mergeCell ref="W180:W181"/>
    <mergeCell ref="L181:M181"/>
    <mergeCell ref="X181:Y181"/>
    <mergeCell ref="X193:Y193"/>
    <mergeCell ref="X189:Y189"/>
    <mergeCell ref="K182:K183"/>
    <mergeCell ref="H42:H43"/>
    <mergeCell ref="J42:J43"/>
    <mergeCell ref="K42:K43"/>
    <mergeCell ref="AE46:AE47"/>
    <mergeCell ref="D50:D53"/>
    <mergeCell ref="E50:E53"/>
    <mergeCell ref="F50:F51"/>
    <mergeCell ref="G50:G51"/>
    <mergeCell ref="F52:K52"/>
    <mergeCell ref="H50:H51"/>
    <mergeCell ref="I50:I51"/>
    <mergeCell ref="K50:K51"/>
    <mergeCell ref="J50:J51"/>
    <mergeCell ref="X186:Z187"/>
    <mergeCell ref="AA186:AA187"/>
    <mergeCell ref="AB186:AD187"/>
    <mergeCell ref="Z181:AA181"/>
    <mergeCell ref="AB181:AC181"/>
    <mergeCell ref="AA54:AA55"/>
    <mergeCell ref="AA178:AA179"/>
    <mergeCell ref="AB57:AC57"/>
    <mergeCell ref="X18:Z19"/>
    <mergeCell ref="AE182:AE183"/>
    <mergeCell ref="AB189:AC189"/>
    <mergeCell ref="X122:Z123"/>
    <mergeCell ref="AA122:AA123"/>
    <mergeCell ref="AB122:AD123"/>
    <mergeCell ref="AE122:AE123"/>
    <mergeCell ref="X134:Z135"/>
    <mergeCell ref="X26:Z27"/>
    <mergeCell ref="AE50:AE51"/>
    <mergeCell ref="AE54:AE55"/>
    <mergeCell ref="AD33:AE33"/>
    <mergeCell ref="AB42:AD43"/>
    <mergeCell ref="AE42:AE43"/>
    <mergeCell ref="AB38:AD39"/>
    <mergeCell ref="AD29:AE29"/>
    <mergeCell ref="Z189:AA189"/>
    <mergeCell ref="AE178:AE179"/>
    <mergeCell ref="X121:Y121"/>
    <mergeCell ref="Z121:AA121"/>
    <mergeCell ref="AB121:AC121"/>
    <mergeCell ref="AD121:AE121"/>
    <mergeCell ref="X118:Z119"/>
    <mergeCell ref="AA118:AA119"/>
    <mergeCell ref="AJ16:AJ17"/>
    <mergeCell ref="AG23:AH23"/>
    <mergeCell ref="AG13:AI13"/>
    <mergeCell ref="AG25:AH25"/>
    <mergeCell ref="AL9:AL13"/>
    <mergeCell ref="AJ22:AK23"/>
    <mergeCell ref="AJ30:AK31"/>
    <mergeCell ref="AJ11:AK11"/>
    <mergeCell ref="AJ28:AJ29"/>
    <mergeCell ref="AK20:AK21"/>
    <mergeCell ref="AK28:AK29"/>
    <mergeCell ref="AJ24:AJ25"/>
    <mergeCell ref="AK24:AK25"/>
    <mergeCell ref="AJ12:AK12"/>
    <mergeCell ref="AB9:AE9"/>
    <mergeCell ref="AB10:AD10"/>
    <mergeCell ref="AB29:AC29"/>
    <mergeCell ref="AB30:AD31"/>
    <mergeCell ref="AE30:AE31"/>
    <mergeCell ref="AB22:AD23"/>
    <mergeCell ref="AE22:AE23"/>
    <mergeCell ref="AG30:AH30"/>
    <mergeCell ref="AG26:AH26"/>
    <mergeCell ref="AJ26:AK27"/>
    <mergeCell ref="AI27:AI28"/>
    <mergeCell ref="AI31:AI32"/>
    <mergeCell ref="AG32:AH32"/>
    <mergeCell ref="AG31:AH31"/>
    <mergeCell ref="AD11:AD12"/>
    <mergeCell ref="AI11:AI12"/>
    <mergeCell ref="AG12:AH12"/>
    <mergeCell ref="AC11:AC12"/>
    <mergeCell ref="BD191:BD192"/>
    <mergeCell ref="AJ9:AK10"/>
    <mergeCell ref="AG22:AH22"/>
    <mergeCell ref="AJ18:AK19"/>
    <mergeCell ref="AJ20:AJ21"/>
    <mergeCell ref="AG19:AH19"/>
    <mergeCell ref="AG14:AH14"/>
    <mergeCell ref="AJ14:AK15"/>
    <mergeCell ref="AG15:AH15"/>
    <mergeCell ref="AK16:AK17"/>
    <mergeCell ref="AG9:AI9"/>
    <mergeCell ref="AG10:AH10"/>
    <mergeCell ref="AI23:AI24"/>
    <mergeCell ref="AG24:AH24"/>
    <mergeCell ref="AG20:AH20"/>
    <mergeCell ref="AG21:AH21"/>
    <mergeCell ref="AI19:AI20"/>
    <mergeCell ref="AG18:AH18"/>
    <mergeCell ref="AK120:AK121"/>
    <mergeCell ref="AG121:AH121"/>
    <mergeCell ref="AG122:AH122"/>
    <mergeCell ref="AJ122:AK123"/>
    <mergeCell ref="AG123:AH123"/>
    <mergeCell ref="AI123:AI124"/>
    <mergeCell ref="AG124:AH124"/>
    <mergeCell ref="AJ124:AJ125"/>
    <mergeCell ref="AI135:AI136"/>
    <mergeCell ref="AG136:AH136"/>
    <mergeCell ref="AJ136:AJ137"/>
    <mergeCell ref="AJ146:AK147"/>
    <mergeCell ref="AG147:AH147"/>
    <mergeCell ref="AI147:AI148"/>
    <mergeCell ref="C42:C45"/>
    <mergeCell ref="C46:C49"/>
    <mergeCell ref="C50:C53"/>
    <mergeCell ref="C54:C57"/>
    <mergeCell ref="C178:C181"/>
    <mergeCell ref="C182:C185"/>
    <mergeCell ref="C146:C149"/>
    <mergeCell ref="C150:C153"/>
    <mergeCell ref="C154:C157"/>
    <mergeCell ref="C158:C161"/>
    <mergeCell ref="C18:C21"/>
    <mergeCell ref="C22:C25"/>
    <mergeCell ref="C26:C29"/>
    <mergeCell ref="C30:C33"/>
    <mergeCell ref="C34:C37"/>
    <mergeCell ref="C38:C41"/>
    <mergeCell ref="AB46:AD47"/>
    <mergeCell ref="AD57:AE57"/>
    <mergeCell ref="Z57:AA57"/>
    <mergeCell ref="AB178:AD179"/>
    <mergeCell ref="D26:D29"/>
    <mergeCell ref="E26:E29"/>
    <mergeCell ref="D30:D33"/>
    <mergeCell ref="E30:E33"/>
    <mergeCell ref="D34:D37"/>
    <mergeCell ref="E34:E37"/>
    <mergeCell ref="F32:K32"/>
    <mergeCell ref="L32:M32"/>
    <mergeCell ref="F30:F31"/>
    <mergeCell ref="G30:G31"/>
    <mergeCell ref="L30:L31"/>
    <mergeCell ref="F29:K29"/>
    <mergeCell ref="C138:C141"/>
    <mergeCell ref="C142:C145"/>
    <mergeCell ref="D118:D121"/>
    <mergeCell ref="E118:E121"/>
    <mergeCell ref="F118:F119"/>
    <mergeCell ref="G118:G119"/>
    <mergeCell ref="F120:K120"/>
    <mergeCell ref="F121:K121"/>
    <mergeCell ref="H118:H119"/>
    <mergeCell ref="I118:I119"/>
    <mergeCell ref="C162:C165"/>
    <mergeCell ref="C166:C169"/>
    <mergeCell ref="C186:C189"/>
    <mergeCell ref="C190:C193"/>
    <mergeCell ref="C118:C121"/>
    <mergeCell ref="C122:C125"/>
    <mergeCell ref="C126:C129"/>
    <mergeCell ref="C130:C133"/>
    <mergeCell ref="C134:C137"/>
    <mergeCell ref="D182:D185"/>
    <mergeCell ref="E182:E185"/>
    <mergeCell ref="F182:F183"/>
    <mergeCell ref="G182:G183"/>
    <mergeCell ref="F184:K184"/>
    <mergeCell ref="F185:K185"/>
    <mergeCell ref="H182:H183"/>
    <mergeCell ref="I182:I183"/>
    <mergeCell ref="J182:J183"/>
    <mergeCell ref="E186:E189"/>
    <mergeCell ref="F186:F187"/>
    <mergeCell ref="G186:G187"/>
    <mergeCell ref="J178:J179"/>
    <mergeCell ref="AB118:AD119"/>
    <mergeCell ref="AE118:AE119"/>
    <mergeCell ref="AG118:AH118"/>
    <mergeCell ref="AJ118:AK119"/>
    <mergeCell ref="AG119:AH119"/>
    <mergeCell ref="AI119:AI120"/>
    <mergeCell ref="AG120:AH120"/>
    <mergeCell ref="AJ120:AJ121"/>
    <mergeCell ref="J118:J119"/>
    <mergeCell ref="K118:K119"/>
    <mergeCell ref="L118:L119"/>
    <mergeCell ref="N118:N121"/>
    <mergeCell ref="V118:V119"/>
    <mergeCell ref="W118:W119"/>
    <mergeCell ref="L120:M120"/>
    <mergeCell ref="W120:W121"/>
    <mergeCell ref="L121:M121"/>
    <mergeCell ref="D126:D129"/>
    <mergeCell ref="E126:E129"/>
    <mergeCell ref="F126:F127"/>
    <mergeCell ref="G126:G127"/>
    <mergeCell ref="F128:K128"/>
    <mergeCell ref="F129:K129"/>
    <mergeCell ref="H126:H127"/>
    <mergeCell ref="I126:I127"/>
    <mergeCell ref="J126:J127"/>
    <mergeCell ref="K126:K127"/>
    <mergeCell ref="AK124:AK125"/>
    <mergeCell ref="AG125:AH125"/>
    <mergeCell ref="X125:Y125"/>
    <mergeCell ref="Z125:AA125"/>
    <mergeCell ref="AB125:AC125"/>
    <mergeCell ref="AD125:AE125"/>
    <mergeCell ref="D122:D125"/>
    <mergeCell ref="E122:E125"/>
    <mergeCell ref="F122:F123"/>
    <mergeCell ref="G122:G123"/>
    <mergeCell ref="F124:K124"/>
    <mergeCell ref="F125:K125"/>
    <mergeCell ref="H122:H123"/>
    <mergeCell ref="I122:I123"/>
    <mergeCell ref="J122:J123"/>
    <mergeCell ref="K122:K123"/>
    <mergeCell ref="D130:D133"/>
    <mergeCell ref="E130:E133"/>
    <mergeCell ref="F130:F131"/>
    <mergeCell ref="G130:G131"/>
    <mergeCell ref="F132:K132"/>
    <mergeCell ref="F133:K133"/>
    <mergeCell ref="H130:H131"/>
    <mergeCell ref="I130:I131"/>
    <mergeCell ref="J130:J131"/>
    <mergeCell ref="K130:K131"/>
    <mergeCell ref="AK128:AK129"/>
    <mergeCell ref="AG129:AH129"/>
    <mergeCell ref="X129:Y129"/>
    <mergeCell ref="Z129:AA129"/>
    <mergeCell ref="AB129:AC129"/>
    <mergeCell ref="AD129:AE129"/>
    <mergeCell ref="X126:Z127"/>
    <mergeCell ref="AA126:AA127"/>
    <mergeCell ref="AB126:AD127"/>
    <mergeCell ref="AE126:AE127"/>
    <mergeCell ref="AG126:AH126"/>
    <mergeCell ref="AJ126:AK127"/>
    <mergeCell ref="AG127:AH127"/>
    <mergeCell ref="AI127:AI128"/>
    <mergeCell ref="AG128:AH128"/>
    <mergeCell ref="AJ128:AJ129"/>
    <mergeCell ref="L126:L127"/>
    <mergeCell ref="N126:N129"/>
    <mergeCell ref="V126:V127"/>
    <mergeCell ref="W126:W127"/>
    <mergeCell ref="L128:M128"/>
    <mergeCell ref="W128:W129"/>
    <mergeCell ref="X130:Z131"/>
    <mergeCell ref="AA130:AA131"/>
    <mergeCell ref="AB130:AD131"/>
    <mergeCell ref="AE130:AE131"/>
    <mergeCell ref="AG130:AH130"/>
    <mergeCell ref="AJ130:AK131"/>
    <mergeCell ref="AG131:AH131"/>
    <mergeCell ref="AI131:AI132"/>
    <mergeCell ref="AG132:AH132"/>
    <mergeCell ref="AJ132:AJ133"/>
    <mergeCell ref="L130:L131"/>
    <mergeCell ref="N130:N133"/>
    <mergeCell ref="V130:V131"/>
    <mergeCell ref="W130:W131"/>
    <mergeCell ref="L132:M132"/>
    <mergeCell ref="W132:W133"/>
    <mergeCell ref="L133:M133"/>
    <mergeCell ref="AK132:AK133"/>
    <mergeCell ref="AG133:AH133"/>
    <mergeCell ref="X133:Y133"/>
    <mergeCell ref="Z133:AA133"/>
    <mergeCell ref="AB133:AC133"/>
    <mergeCell ref="AD133:AE133"/>
    <mergeCell ref="D138:D141"/>
    <mergeCell ref="E138:E141"/>
    <mergeCell ref="F138:F139"/>
    <mergeCell ref="G138:G139"/>
    <mergeCell ref="F140:K140"/>
    <mergeCell ref="F141:K141"/>
    <mergeCell ref="H138:H139"/>
    <mergeCell ref="I138:I139"/>
    <mergeCell ref="J138:J139"/>
    <mergeCell ref="K138:K139"/>
    <mergeCell ref="AK136:AK137"/>
    <mergeCell ref="AG137:AH137"/>
    <mergeCell ref="X137:Y137"/>
    <mergeCell ref="Z137:AA137"/>
    <mergeCell ref="AB137:AC137"/>
    <mergeCell ref="AD137:AE137"/>
    <mergeCell ref="D134:D137"/>
    <mergeCell ref="E134:E137"/>
    <mergeCell ref="F134:F135"/>
    <mergeCell ref="G134:G135"/>
    <mergeCell ref="F136:K136"/>
    <mergeCell ref="F137:K137"/>
    <mergeCell ref="H134:H135"/>
    <mergeCell ref="I134:I135"/>
    <mergeCell ref="J134:J135"/>
    <mergeCell ref="K134:K135"/>
    <mergeCell ref="AA134:AA135"/>
    <mergeCell ref="AB134:AD135"/>
    <mergeCell ref="AE134:AE135"/>
    <mergeCell ref="AG134:AH134"/>
    <mergeCell ref="AJ134:AK135"/>
    <mergeCell ref="AG135:AH135"/>
    <mergeCell ref="E142:E145"/>
    <mergeCell ref="F142:F143"/>
    <mergeCell ref="G142:G143"/>
    <mergeCell ref="F144:K144"/>
    <mergeCell ref="F145:K145"/>
    <mergeCell ref="H142:H143"/>
    <mergeCell ref="I142:I143"/>
    <mergeCell ref="J142:J143"/>
    <mergeCell ref="K142:K143"/>
    <mergeCell ref="AK140:AK141"/>
    <mergeCell ref="AG141:AH141"/>
    <mergeCell ref="X141:Y141"/>
    <mergeCell ref="Z141:AA141"/>
    <mergeCell ref="AB141:AC141"/>
    <mergeCell ref="AD141:AE141"/>
    <mergeCell ref="X138:Z139"/>
    <mergeCell ref="AA138:AA139"/>
    <mergeCell ref="AB138:AD139"/>
    <mergeCell ref="AE138:AE139"/>
    <mergeCell ref="AG138:AH138"/>
    <mergeCell ref="AJ138:AK139"/>
    <mergeCell ref="AG139:AH139"/>
    <mergeCell ref="AI139:AI140"/>
    <mergeCell ref="AG140:AH140"/>
    <mergeCell ref="AJ140:AJ141"/>
    <mergeCell ref="L138:L139"/>
    <mergeCell ref="N138:N141"/>
    <mergeCell ref="V138:V139"/>
    <mergeCell ref="W138:W139"/>
    <mergeCell ref="L140:M140"/>
    <mergeCell ref="W140:W141"/>
    <mergeCell ref="X142:Z143"/>
    <mergeCell ref="AA142:AA143"/>
    <mergeCell ref="AB142:AD143"/>
    <mergeCell ref="AE142:AE143"/>
    <mergeCell ref="AG142:AH142"/>
    <mergeCell ref="AJ142:AK143"/>
    <mergeCell ref="AG143:AH143"/>
    <mergeCell ref="AI143:AI144"/>
    <mergeCell ref="AG144:AH144"/>
    <mergeCell ref="AJ144:AJ145"/>
    <mergeCell ref="L142:L143"/>
    <mergeCell ref="N142:N145"/>
    <mergeCell ref="V142:V143"/>
    <mergeCell ref="W142:W143"/>
    <mergeCell ref="L144:M144"/>
    <mergeCell ref="W144:W145"/>
    <mergeCell ref="L145:M145"/>
    <mergeCell ref="AJ148:AJ149"/>
    <mergeCell ref="L146:L147"/>
    <mergeCell ref="N146:N149"/>
    <mergeCell ref="V146:V147"/>
    <mergeCell ref="W146:W147"/>
    <mergeCell ref="L148:M148"/>
    <mergeCell ref="W148:W149"/>
    <mergeCell ref="L149:M149"/>
    <mergeCell ref="AK144:AK145"/>
    <mergeCell ref="AG145:AH145"/>
    <mergeCell ref="X145:Y145"/>
    <mergeCell ref="Z145:AA145"/>
    <mergeCell ref="AB145:AC145"/>
    <mergeCell ref="AD145:AE145"/>
    <mergeCell ref="D150:D153"/>
    <mergeCell ref="E150:E153"/>
    <mergeCell ref="F150:F151"/>
    <mergeCell ref="G150:G151"/>
    <mergeCell ref="F152:K152"/>
    <mergeCell ref="F153:K153"/>
    <mergeCell ref="H150:H151"/>
    <mergeCell ref="I150:I151"/>
    <mergeCell ref="J150:J151"/>
    <mergeCell ref="K150:K151"/>
    <mergeCell ref="AK148:AK149"/>
    <mergeCell ref="AG149:AH149"/>
    <mergeCell ref="X149:Y149"/>
    <mergeCell ref="Z149:AA149"/>
    <mergeCell ref="AB149:AC149"/>
    <mergeCell ref="AD149:AE149"/>
    <mergeCell ref="AK152:AK153"/>
    <mergeCell ref="AG153:AH153"/>
    <mergeCell ref="X153:Y153"/>
    <mergeCell ref="Z153:AA153"/>
    <mergeCell ref="AB153:AC153"/>
    <mergeCell ref="AD153:AE153"/>
    <mergeCell ref="X150:Z151"/>
    <mergeCell ref="AA150:AA151"/>
    <mergeCell ref="AB150:AD151"/>
    <mergeCell ref="AE150:AE151"/>
    <mergeCell ref="AG150:AH150"/>
    <mergeCell ref="AJ150:AK151"/>
    <mergeCell ref="AG151:AH151"/>
    <mergeCell ref="AI151:AI152"/>
    <mergeCell ref="AG152:AH152"/>
    <mergeCell ref="AJ152:AJ153"/>
    <mergeCell ref="D142:D145"/>
    <mergeCell ref="D146:D149"/>
    <mergeCell ref="E146:E149"/>
    <mergeCell ref="F146:F147"/>
    <mergeCell ref="G146:G147"/>
    <mergeCell ref="F148:K148"/>
    <mergeCell ref="F149:K149"/>
    <mergeCell ref="H146:H147"/>
    <mergeCell ref="I146:I147"/>
    <mergeCell ref="J146:J147"/>
    <mergeCell ref="K146:K147"/>
    <mergeCell ref="X146:Z147"/>
    <mergeCell ref="AA146:AA147"/>
    <mergeCell ref="AB146:AD147"/>
    <mergeCell ref="AE146:AE147"/>
    <mergeCell ref="AG146:AH146"/>
    <mergeCell ref="D154:D157"/>
    <mergeCell ref="E154:E157"/>
    <mergeCell ref="F154:F155"/>
    <mergeCell ref="G154:G155"/>
    <mergeCell ref="F156:K156"/>
    <mergeCell ref="F157:K157"/>
    <mergeCell ref="H154:H155"/>
    <mergeCell ref="I154:I155"/>
    <mergeCell ref="J154:J155"/>
    <mergeCell ref="K154:K155"/>
    <mergeCell ref="X154:Z155"/>
    <mergeCell ref="AA154:AA155"/>
    <mergeCell ref="AB154:AD155"/>
    <mergeCell ref="AE154:AE155"/>
    <mergeCell ref="AG154:AH154"/>
    <mergeCell ref="AG148:AH148"/>
    <mergeCell ref="L150:L151"/>
    <mergeCell ref="N150:N153"/>
    <mergeCell ref="V150:V151"/>
    <mergeCell ref="W150:W151"/>
    <mergeCell ref="L152:M152"/>
    <mergeCell ref="W152:W153"/>
    <mergeCell ref="AJ154:AK155"/>
    <mergeCell ref="AG155:AH155"/>
    <mergeCell ref="AI155:AI156"/>
    <mergeCell ref="AG156:AH156"/>
    <mergeCell ref="AJ156:AJ157"/>
    <mergeCell ref="L154:L155"/>
    <mergeCell ref="N154:N157"/>
    <mergeCell ref="V154:V155"/>
    <mergeCell ref="W154:W155"/>
    <mergeCell ref="L156:M156"/>
    <mergeCell ref="W156:W157"/>
    <mergeCell ref="L157:M157"/>
    <mergeCell ref="L153:M153"/>
    <mergeCell ref="AG159:AH159"/>
    <mergeCell ref="AI159:AI160"/>
    <mergeCell ref="AG160:AH160"/>
    <mergeCell ref="AJ160:AJ161"/>
    <mergeCell ref="L158:L159"/>
    <mergeCell ref="N158:N161"/>
    <mergeCell ref="V158:V159"/>
    <mergeCell ref="W158:W159"/>
    <mergeCell ref="L160:M160"/>
    <mergeCell ref="W160:W161"/>
    <mergeCell ref="L161:M161"/>
    <mergeCell ref="AK156:AK157"/>
    <mergeCell ref="AG157:AH157"/>
    <mergeCell ref="X157:Y157"/>
    <mergeCell ref="Z157:AA157"/>
    <mergeCell ref="AB157:AC157"/>
    <mergeCell ref="AD157:AE157"/>
    <mergeCell ref="D162:D165"/>
    <mergeCell ref="E162:E165"/>
    <mergeCell ref="F162:F163"/>
    <mergeCell ref="G162:G163"/>
    <mergeCell ref="F164:K164"/>
    <mergeCell ref="F165:K165"/>
    <mergeCell ref="H162:H163"/>
    <mergeCell ref="I162:I163"/>
    <mergeCell ref="J162:J163"/>
    <mergeCell ref="K162:K163"/>
    <mergeCell ref="AK160:AK161"/>
    <mergeCell ref="AG161:AH161"/>
    <mergeCell ref="X161:Y161"/>
    <mergeCell ref="Z161:AA161"/>
    <mergeCell ref="AB161:AC161"/>
    <mergeCell ref="AD161:AE161"/>
    <mergeCell ref="D158:D161"/>
    <mergeCell ref="E158:E161"/>
    <mergeCell ref="F158:F159"/>
    <mergeCell ref="G158:G159"/>
    <mergeCell ref="F160:K160"/>
    <mergeCell ref="F161:K161"/>
    <mergeCell ref="H158:H159"/>
    <mergeCell ref="I158:I159"/>
    <mergeCell ref="J158:J159"/>
    <mergeCell ref="K158:K159"/>
    <mergeCell ref="X158:Z159"/>
    <mergeCell ref="AA158:AA159"/>
    <mergeCell ref="AB158:AD159"/>
    <mergeCell ref="AE158:AE159"/>
    <mergeCell ref="AG158:AH158"/>
    <mergeCell ref="AJ158:AK159"/>
    <mergeCell ref="D166:D169"/>
    <mergeCell ref="E166:E169"/>
    <mergeCell ref="F166:F167"/>
    <mergeCell ref="G166:G167"/>
    <mergeCell ref="F168:K168"/>
    <mergeCell ref="F169:K169"/>
    <mergeCell ref="H166:H167"/>
    <mergeCell ref="I166:I167"/>
    <mergeCell ref="J166:J167"/>
    <mergeCell ref="K166:K167"/>
    <mergeCell ref="AK164:AK165"/>
    <mergeCell ref="AG165:AH165"/>
    <mergeCell ref="X165:Y165"/>
    <mergeCell ref="Z165:AA165"/>
    <mergeCell ref="AB165:AC165"/>
    <mergeCell ref="AD165:AE165"/>
    <mergeCell ref="X162:Z163"/>
    <mergeCell ref="AA162:AA163"/>
    <mergeCell ref="AB162:AD163"/>
    <mergeCell ref="AE162:AE163"/>
    <mergeCell ref="AG162:AH162"/>
    <mergeCell ref="AJ162:AK163"/>
    <mergeCell ref="AG163:AH163"/>
    <mergeCell ref="AI163:AI164"/>
    <mergeCell ref="AG164:AH164"/>
    <mergeCell ref="AJ164:AJ165"/>
    <mergeCell ref="L162:L163"/>
    <mergeCell ref="N162:N165"/>
    <mergeCell ref="V162:V163"/>
    <mergeCell ref="W162:W163"/>
    <mergeCell ref="L164:M164"/>
    <mergeCell ref="W164:W165"/>
    <mergeCell ref="AK168:AK169"/>
    <mergeCell ref="AG169:AH169"/>
    <mergeCell ref="X169:Y169"/>
    <mergeCell ref="Z169:AA169"/>
    <mergeCell ref="AB169:AC169"/>
    <mergeCell ref="AD169:AE169"/>
    <mergeCell ref="X166:Z167"/>
    <mergeCell ref="AA166:AA167"/>
    <mergeCell ref="AB166:AD167"/>
    <mergeCell ref="AE166:AE167"/>
    <mergeCell ref="AG166:AH166"/>
    <mergeCell ref="AJ166:AK167"/>
    <mergeCell ref="AG167:AH167"/>
    <mergeCell ref="AI167:AI168"/>
    <mergeCell ref="AG168:AH168"/>
    <mergeCell ref="AJ168:AJ169"/>
    <mergeCell ref="L166:L167"/>
    <mergeCell ref="N166:N169"/>
    <mergeCell ref="V166:V167"/>
    <mergeCell ref="W166:W167"/>
    <mergeCell ref="L168:M168"/>
    <mergeCell ref="W168:W169"/>
    <mergeCell ref="L169:M169"/>
    <mergeCell ref="AJ170:AK171"/>
    <mergeCell ref="AG171:AH171"/>
    <mergeCell ref="AI171:AI172"/>
    <mergeCell ref="W172:W173"/>
    <mergeCell ref="AG172:AH172"/>
    <mergeCell ref="AJ172:AJ173"/>
    <mergeCell ref="AK172:AK173"/>
    <mergeCell ref="X173:Y173"/>
    <mergeCell ref="Z173:AA173"/>
    <mergeCell ref="AB173:AC173"/>
    <mergeCell ref="W170:W171"/>
    <mergeCell ref="X170:Z171"/>
    <mergeCell ref="AA170:AA171"/>
    <mergeCell ref="AB170:AD171"/>
    <mergeCell ref="AE170:AE171"/>
    <mergeCell ref="AG170:AH170"/>
    <mergeCell ref="K170:K171"/>
    <mergeCell ref="L170:L171"/>
    <mergeCell ref="N170:N173"/>
    <mergeCell ref="V170:V171"/>
    <mergeCell ref="F172:K172"/>
    <mergeCell ref="L172:M172"/>
    <mergeCell ref="F173:K173"/>
    <mergeCell ref="L173:M173"/>
    <mergeCell ref="G170:G171"/>
    <mergeCell ref="H170:H171"/>
    <mergeCell ref="I170:I171"/>
    <mergeCell ref="J170:J171"/>
    <mergeCell ref="F170:F171"/>
    <mergeCell ref="F176:K176"/>
    <mergeCell ref="L176:M176"/>
    <mergeCell ref="F177:K177"/>
    <mergeCell ref="L177:M177"/>
    <mergeCell ref="G174:G175"/>
    <mergeCell ref="H174:H175"/>
    <mergeCell ref="AD173:AE173"/>
    <mergeCell ref="AG173:AH173"/>
    <mergeCell ref="I174:I175"/>
    <mergeCell ref="J174:J175"/>
    <mergeCell ref="C174:C177"/>
    <mergeCell ref="D174:D177"/>
    <mergeCell ref="E174:E177"/>
    <mergeCell ref="F174:F175"/>
    <mergeCell ref="K174:K175"/>
    <mergeCell ref="L174:L175"/>
    <mergeCell ref="C170:C173"/>
    <mergeCell ref="D170:D173"/>
    <mergeCell ref="E170:E173"/>
    <mergeCell ref="AD177:AE177"/>
    <mergeCell ref="AG177:AH177"/>
    <mergeCell ref="AJ174:AK175"/>
    <mergeCell ref="AG175:AH175"/>
    <mergeCell ref="AI175:AI176"/>
    <mergeCell ref="W176:W177"/>
    <mergeCell ref="AG176:AH176"/>
    <mergeCell ref="AJ176:AJ177"/>
    <mergeCell ref="AK176:AK177"/>
    <mergeCell ref="X177:Y177"/>
    <mergeCell ref="Z177:AA177"/>
    <mergeCell ref="AB177:AC177"/>
    <mergeCell ref="W174:W175"/>
    <mergeCell ref="X174:Z175"/>
    <mergeCell ref="AA174:AA175"/>
    <mergeCell ref="AB174:AD175"/>
    <mergeCell ref="AE174:AE175"/>
    <mergeCell ref="AG174:AH174"/>
    <mergeCell ref="N174:N177"/>
    <mergeCell ref="V174:V175"/>
  </mergeCells>
  <phoneticPr fontId="33"/>
  <dataValidations xWindow="639" yWindow="221" count="27">
    <dataValidation type="decimal" errorStyle="warning" allowBlank="1" showInputMessage="1" showErrorMessage="1" errorTitle="構内ケ－ブルの導体温度" error="－１００［℃］ ～ ＋３００［℃］ の範囲の値を入力してください。" sqref="AG71:AG72 AG171:AG172 AG159:AG160 AG151:AG152 AG15:AG16 AG59:AG60 AG75:AG76 AG175:AG176 AG163:AG164 AG139:AG140 AG63:AG64 AG195:AG196 AG67:AG68 AG167:AG168 AG155:AG156 AG143:AG144 AG147:AG148 AG91:AG92 AG79:AG80 AG95:AG96 AG83:AG84 AG87:AG88 AG111:AG112 AG99:AG100 AG115:AG116 AG103:AG104 AG107:AG108 AG131:AG132 AG119:AG120 AG135:AG136 AG123:AG124 AG127:AG128 AG31:AG32 AG19:AG20 AG35:AG36 AG23:AG24 AG27:AG28 AG51:AG52 AG39:AG40 AG55:AG56 AG43:AG44 AG47:AG48 AG179:AG180 AG191:AG192 AG183:AG184 AG187:AG188">
      <formula1>-100</formula1>
      <formula2>300</formula2>
    </dataValidation>
    <dataValidation type="decimal" errorStyle="information" allowBlank="1" showInputMessage="1" showErrorMessage="1" errorTitle="電動機の始動階級" error="０ ～ ＋１００ の範囲の値を入力して下さい。" sqref="AD161 AD61 AI173 AD173 AD177 Z173 AD165 AD81 AD121 Z177 AD17 Z165 AD169 AI93 AD93 AI73 AD97 AD21 AI33 Z93 AD85 AD33 AD37 AD141 AI153 AD73 AD153 Z33 AD77 AD25 AD157 Z169 Z161 Z97 AI169 Z37 AI161 Z85 Z17 AI17 Z25 AD89 Z153 Z73 Z89 AI177 AI197 AD145 Z197 AD197 AD65 Z77 AI133 Z81 AD101 AI113 AD113 AI89 AD117 Z113 AD105 AI81 AI97 Z117 Z105 AD109 AI85 Z109 AD133 AD137 Z101 AI109 Z133 AD125 Z137 AI101 Z125 AD129 Z129 AI117 AI105 Z121 AI129 Z157 AI121 Z145 AD149 Z149 AI137 AI125 Z141 AI149 AI141 AI157 AI145 AI165 AD29 Z29 AD41 Z21 AI53 AD53 AD57 AI29 Z53 AD45 Z57 AI21 AI37 Z45 AD49 AI25 Z49 Z65 Z41 AD69 Z69 Z61 AI49 AI69 AI61 AI77 AI41 AI57 AI65 AI45 AD181 AD193 AD185 Z193 Z185 AD189 Z189 Z181 AI189 AI181 AI193 AI185">
      <formula1>0</formula1>
      <formula2>100</formula2>
    </dataValidation>
    <dataValidation type="whole" errorStyle="information" showInputMessage="1" showErrorMessage="1" errorTitle="変圧器容量" error="最大 ９９９９９ ［ＫＶＡ］ まで、入力できます。" sqref="L160 L176 L172 L168 L164 L20 L80 L36 L96 L92 L32 L88 L28 L16 L24 L84 L196 L100 L116 L112 L108 L104 L120 L136 L132 L128 L124 L140 L156 L152 L148 L144 L40 L56 L52 L48 L44 L60 L76 L72 L68 L64 L180 L192 L188 L184">
      <formula1>0</formula1>
      <formula2>99999</formula2>
    </dataValidation>
    <dataValidation type="textLength" operator="equal" showErrorMessage="1" errorTitle="電圧降下計算-3" error="このセルは自動計算用のセルです。_x000a_このセルを変更しないで下さい。_x000a__x000a_キャンセルを押して下さい。" sqref="AM17 AM185 AM189 AM45 AM29 AM49 AM181 AM21 AM197 AM25 AM53 AM33 AM37 AM41 AM193 AM177 AM121 AM125 AM129 AM133 AM137 AM141 AM145 AM149 AM153 AM157 AM161 AM165 AM169 AM173 AM57 AM73 AM61 AM65 AM69 AM77 AM93 AM81 AM85 AM89 AM97 AM101 AM105 AM109 AM113 AM117">
      <formula1>0</formula1>
    </dataValidation>
    <dataValidation type="custom" errorStyle="warning" allowBlank="1" showInputMessage="1" showErrorMessage="1" errorTitle="ＴＲＩＰ値" error="トリップ値 が、大きすぎます。" sqref="AK160 AK164 AK168 AK172 AK20 AK24 AK176 AK16 AK28 AK80 AK84 AK88 AK92 AK96 AK32 AK36 AK196 AK100 AK104 AK108 AK112 AK116 AK120 AK124 AK128 AK132 AK136 AK140 AK144 AK148 AK152 AK156 AK40 AK44 AK48 AK52 AK56 AK60 AK64 AK68 AK72 AK76 AK180 AK184 AK188 AK192">
      <formula1>IF(AK16&lt;=AJ16,TRUE,FALSE)</formula1>
    </dataValidation>
    <dataValidation type="list" errorStyle="warning" allowBlank="1" showInputMessage="1" showErrorMessage="1" errorTitle="公称断面値" error="公称断面値が、入力されました。_x000a_DATA　Ｔａｂｌｅ に、このケ－ブルの Ｒ，Ｘを_x000a_入力してください。（５０ Ｈｚ ＤＡＴＡ）" sqref="X160 X172 X176 AB172 X164 X168 AB176 AB164 AB160 AB168 X80 X92 X20 X32 X36 X96 AB32 X24 AB92 X84 X88 X28 X16 AB36 AB16 AB24 AB20 AB28 AB96 AB84 AB80 AB88 X196 AB196 X100 X112 X116 AB112 X104 X108 AB116 AB104 AB100 AB108 X120 X132 X136 AB132 X124 X128 AB136 AB124 AB120 AB128 X140 X152 X156 AB152 X144 X148 AB156 AB144 AB140 AB148 X40 X52 X56 AB52 X44 X48 AB56 AB44 AB40 AB48 X60 X72 X76 AB72 X64 X68 AB76 AB64 AB60 AB68 X180 X192 X184 X188 AB192 AB184 AB180 AB188">
      <formula1>"2.0,3.5,5.5,8,14,22,38,50,60,100,150,200,250,325,400,500,600"</formula1>
    </dataValidation>
    <dataValidation type="list" allowBlank="1" showErrorMessage="1" errorTitle="Ｉｎｐｕｔ　ｏｆ　ｅｌｅｃｔｒｉｃ　ｓｙｓｔｅｍ" error="Ｔｈｅ　ｉｎｐｕｔｔｅｄ　ｖａｌｕｅ　ｉｓ　ｎｏｔ　ｒｉｇｈｔ．_x000a_Ｔｈｅ　ｖａｌｕｅ　ｗｈｉｃｈ　ｃａｎ　ｂｅ　ｉｎｐｕｔｔｅｄ　ｉｎｔｏ　ａ　ｃｅｌｌ　ｉｓ　ｒｅｓｔｒｉｃｔｅｄ　ｂｙ　ｓｅｔｕｐ　ｏｆ　ａ user.　" sqref="F158:F159 F162:F163 F166:F167 F170:F171 F14:F15 F18:F19 F78:F79 F82:F83 F86:F87 F90:F91 F94:F95 F22:F23 F26:F27 F30:F31 F34:F35 F174:F175 F194:F195 F98:F99 F102:F103 F106:F107 F110:F111 F114:F115 F118:F119 F122:F123 F126:F127 F130:F131 F134:F135 F138:F139 F142:F143 F146:F147 F150:F151 F154:F155 F38:F39 F42:F43 F46:F47 F50:F51 F54:F55 F58:F59 F62:F63 F66:F67 F70:F71 F74:F75 F178:F179 F182:F183 F186:F187 F190:F191">
      <formula1>"1,3"</formula1>
    </dataValidation>
    <dataValidation type="list" allowBlank="1" showErrorMessage="1" errorTitle="Ｉｎｐｕｔ　ｏｆ　ｅｌｅｃｔｒｉｃ　ｓｙｓｔｅｍ" error="Ｔｈｅ　ｉｎｐｕｔｔｅｄ　ｖａｌｕｅ　ｉｓ　ｎｏｔ　ｒｉｇｈｔ．_x000a_Ｔｈｅ　ｖａｌｕｅ　ｗｈｉｃｈ　ｃａｎ　ｂｅ　ｉｎｐｕｔｔｅｄ　ｉｎｔｏ　ａ　ｃｅｌｌ　ｉｓ　ｒｅｓｔｒｉｃｔｅｄ　ｂｙ　ｓｅｔｕｐ　ｏｆ　ａ user.　" sqref="H158:H159 H162:H163 H166:H167 H170:H171 H14:H15 H18:H19 H78:H79 H82:H83 H86:H87 H90:H91 H94:H95 H22:H23 H26:H27 H30:H31 H34:H35 H174:H175 H194:H195 H98:H99 H102:H103 H106:H107 H110:H111 H114:H115 H118:H119 H122:H123 H126:H127 H130:H131 H134:H135 H138:H139 H142:H143 H146:H147 H150:H151 H154:H155 H38:H39 H42:H43 H46:H47 H50:H51 H54:H55 H58:H59 H62:H63 H66:H67 H70:H71 H74:H75 H178:H179 H182:H183 H186:H187 H190:H191">
      <formula1>"3,4"</formula1>
    </dataValidation>
    <dataValidation type="list" errorStyle="information" allowBlank="1" showErrorMessage="1" errorTitle="Ｉｎｐｕｔ　ｏｆ　Ｆｒｅｑｕｅｎｃｙ" error="Ｖａｉｕｅｓ　ｏｔｈｅｒ　ｔｈａｎ　５０［Ｈｚ］ ｏｒ ６０［Ｈｚ］ ｗｅｒｅ ｉｎｐｕｔｔｅｄ．_x000a_Ｄｏｅｓ　ｉｔ　ｃｏｎｔｉｎｕｅ？" sqref="F160 F164 F168 F16 F20 F172 F24 F80 F84 F88 F92 F96 F28 F32 F36 F176 F196 F100 F104 F108 F112 F116 F120 F124 F128 F132 F136 F140 F144 F148 F152 F156 F40 F44 F48 F52 F56 F60 F64 F68 F72 F76 F180 F184 F188 F192">
      <formula1>"50,60"</formula1>
    </dataValidation>
    <dataValidation type="decimal" errorStyle="information" allowBlank="1" showErrorMessage="1" errorTitle="Ｅｆｆｉｃｉｅｎｃｙ　ｏｆ　ｌｏａｄ" error="Ｐｌｅａｓｅ　ｉｎｐｕｔ　ｔｈｅ　ｖａｌｕｅ　ｂｅｔｗｅｅｎ　０　ａｎｄ　１" sqref="Q14:Q17 Q194:Q197">
      <formula1>0</formula1>
      <formula2>1</formula2>
    </dataValidation>
    <dataValidation type="decimal" errorStyle="information" allowBlank="1" showErrorMessage="1" errorTitle="Ｐｏｗｅｒ　ｆａｃｔｏｒ　ｏｆ　ｌｏａｄ" error="Ｐｌｅａｓｅ　ｉｎｐｕｔ　ｔｈｅ　ｖａｌｕｅ　ｂｅｔｗｅｅｎ　０．０１　ａｎｄ　１．００" sqref="R14:R17 R194:R197">
      <formula1>0.01</formula1>
      <formula2>1</formula2>
    </dataValidation>
    <dataValidation type="decimal" errorStyle="information" allowBlank="1" showErrorMessage="1" errorTitle="Ｄｅｍａｎｄ　ｆａｃｔｏｒ　ｏｆ　ｌｏａｄ" error="Ｐｌｅａｓｅ　ｉｎｐｕｔ　ｔｈｅ　ｖａｌｕｅ　ｂｅｔｗｅｅｎ　０．０００００１　ａｎｄ　１．００" sqref="T14:T17 T194:T197">
      <formula1>0.01</formula1>
      <formula2>1</formula2>
    </dataValidation>
    <dataValidation type="list" errorStyle="information" sqref="AE194 AA194 AA14 AE14">
      <formula1>$B$48:$B$179</formula1>
    </dataValidation>
    <dataValidation type="list" errorStyle="information" showErrorMessage="1" errorTitle="Ｎａｍｅ　ｏｆ　ａ　ＢＲＥＡＫＥＲ" error="Ｔｈｅ　ｎａｍｅ　ｏｆ　ａ　ｂｒｅａｋｅｒ　ｗａｓ　ｉｎｐｕｔｔｅｄ．" sqref="AJ158 AJ162 AJ166 AJ170 AJ14 AJ18 AJ22 AJ78 AJ82 AJ86 AJ90 AJ94 AJ26 AJ30 AJ34 AJ174 AJ194 AJ98 AJ102 AJ106 AJ110 AJ114 AJ118 AJ122 AJ126 AJ130 AJ134 AJ138 AJ142 AJ146 AJ150 AJ154 AJ38 AJ42 AJ46 AJ50 AJ54 AJ58 AJ62 AJ66 AJ70 AJ74 AJ178 AJ182 AJ186 AJ190">
      <formula1>"MCCB-2P,MCCB-3P,MCCB-4P,ELB-2P,ELB-3P,ELB-4P,ACB-3P"</formula1>
    </dataValidation>
    <dataValidation type="list" errorStyle="information" allowBlank="1" showErrorMessage="1" errorTitle="Ｆｒａｍｅ　ｖａｌｕｅ" error="Ｔｈｅ　ｆｒａｍｅ　ｖａｌｕｅ　ｗａｓ　ｉｎｐｕｔｔｅｄ　ｂｙ　ｕｓｅｒ" sqref="AJ160 AJ164 AJ168 AJ20 AJ172 AJ16 AJ24 AJ80 AJ84 AJ88 AJ92 AJ96 AJ28 AJ32 AJ36 AJ176 AJ196 AJ100 AJ104 AJ108 AJ112 AJ116 AJ120 AJ124 AJ128 AJ132 AJ136 AJ140 AJ144 AJ148 AJ152 AJ156 AJ40 AJ44 AJ48 AJ52 AJ56 AJ60 AJ64 AJ68 AJ72 AJ76 AJ180 AJ184 AJ188 AJ192">
      <formula1>"30,50,60,100,225,250,400,600,800,1000,1200,1600,2000,2500,3000,3200,4000,,630,1250,5000,6300"</formula1>
    </dataValidation>
    <dataValidation type="decimal" errorStyle="information" allowBlank="1" showErrorMessage="1" errorTitle="Ｔｅｍｐｅｒａｔｕｒｅ　ｔｏ　ｃａｌｃｕｌａｔｅ" error="Ｐｌｅａｓｅ　ｉｎｐｕｔ　ｔｈｅ　ｖａｌｕｅ　ｂｅｔｗｅｅｎ　-100[℃]　ａｎｄ　+300[℃]" sqref="F161:K161 F165:K165 F169:K169 F173:K173 F21:K21 F197:K197 F81:K81 F85:K85 F89:K89 F93:K93 F97:K97 F25:K25 F29:K29 F33:K33 F17:K17 F177:K177 F141:K141 F101:K101 F105:K105 F109:K109 F113:K113 F117:K117 F121:K121 F125:K125 F129:K129 F133:K133 F137:K137 F145:K145 F149:K149 F153:K153 F157:K157 F37:K37 F41:K41 F45:K45 F49:K49 F53:K53 F57:K57 F61:K61 F65:K65 F69:K69 F73:K73 F77:K77 F181:K181 F185:K185 F189:K189 F193:K193">
      <formula1>-100</formula1>
      <formula2>300</formula2>
    </dataValidation>
    <dataValidation type="list" errorStyle="information" sqref="AB194 AB14 X14 X194">
      <formula1>"600V IV,600V CV-1C,600V CV-2C,600V CV-3C,600V CV-4C,600V CV-T"</formula1>
    </dataValidation>
    <dataValidation type="list" errorStyle="information" allowBlank="1" showInputMessage="1" showErrorMessage="1" error="形式の入力が完了しました。" sqref="L14 L18 L78 L82 L86 L90 L94 L22 L26 L30 L34 L158 L162 L166 L170 L174 L194 L98 L102 L106 L110 L114 L118 L122 L126 L130 L134 L138 L142 L146 L150 L154 L38 L42 L46 L50 L54 L58 L62 L66 L70 L74 L178 L182 L186 L190">
      <formula1>"油入自冷,モ－ルド絶縁,発電機"</formula1>
    </dataValidation>
    <dataValidation type="list" showInputMessage="1" showErrorMessage="1" sqref="BD191:BD192">
      <formula1>"②負荷側機器　　　　③選定電線-1･2,①適用区間-配電側機器　　③選定電線-1･2,①適用区間-配電側機器　　　　②負荷側機器"</formula1>
    </dataValidation>
    <dataValidation type="textLength" operator="equal" showErrorMessage="1" errorTitle="電圧降下計算-2" error="このセルは自動計算用のセルです。_x000a_このセルを変更しないで下さい。_x000a__x000a_キャンセルを押して下さい。" sqref="BF35">
      <formula1>0</formula1>
    </dataValidation>
    <dataValidation type="list" errorStyle="information" sqref="X78:Z79 AB78:AD79 X82:Z83 AB82:AD83 X86:Z87 AB86:AD87 X90:Z91 AB90:AD91 X94:Z95 AB94:AD95 X18:Z19 AB18:AD19 X22:Z23 AB22:AD23 X26:Z27 AB26:AD27 X30:Z31 AB30:AD31 X34:Z35 AB34:AD35 X158:Z159 AB158:AD159 X162:Z163 AB162:AD163 X166:Z167 AB166:AD167 X170:Z171 AB170:AD171 X174:Z175 AB174:AD175 X98:Z99 AB98:AD99 X102:Z103 AB102:AD103 X106:Z107 AB106:AD107 X110:Z111 AB110:AD111 X114:Z115 AB114:AD115 X118:Z119 AB118:AD119 X122:Z123 AB122:AD123 X126:Z127 AB126:AD127 X130:Z131 AB130:AD131 X134:Z135 AB134:AD135 X138:Z139 AB138:AD139 X142:Z143 AB142:AD143 X146:Z147 AB146:AD147 X150:Z151 AB150:AD151 X154:Z155 AB154:AD155 X38:Z39 AB38:AD39 X42:Z43 AB42:AD43 X46:Z47 AB46:AD47 X50:Z51 AB50:AD51 X54:Z55 AB54:AD55 X58:Z59 AB58:AD59 X62:Z63 AB62:AD63 X66:Z67 AB66:AD67 X70:Z71 AB70:AD71 X74:Z75 AB74:AD75 X178:Z179 AB178:AD179 X182:Z183 AB182:AD183 X186:Z187 AB186:AD187 X190:Z191 AB190:AD191">
      <formula1>$BF$20:$BF$34</formula1>
    </dataValidation>
    <dataValidation type="list" errorStyle="information" sqref="AA78:AA79 AE78:AE79 AE82:AE83 AA82:AA83 AA86:AA87 AE86:AE87 AA90:AA91 AE90:AE91 AA94:AA95 AE94:AE95 AA18:AA19 AE18:AE19 AE22:AE23 AA22:AA23 AA26:AA27 AE26:AE27 AA30:AA31 AE30:AE31 AA34:AA35 AE34:AE35 AA158:AA159 AE158:AE159 AE162:AE163 AA162:AA163 AA166:AA167 AE166:AE167 AA170:AA171 AE170:AE171 AA174:AA175 AE174:AE175 AA98:AA99 AE98:AE99 AE102:AE103 AA102:AA103 AA106:AA107 AE106:AE107 AA110:AA111 AE110:AE111 AA114:AA115 AE114:AE115 AA118:AA119 AE118:AE119 AE122:AE123 AA122:AA123 AA126:AA127 AE126:AE127 AA130:AA131 AE130:AE131 AA134:AA135 AE134:AE135 AA138:AA139 AE138:AE139 AE142:AE143 AA142:AA143 AA146:AA147 AE146:AE147 AA150:AA151 AE150:AE151 AA154:AA155 AE154:AE155 AA38:AA39 AE38:AE39 AE42:AE43 AA42:AA43 AA46:AA47 AE46:AE47 AA50:AA51 AE50:AE51 AA54:AA55 AE54:AE55 AA58:AA59 AE58:AE59 AE62:AE63 AA62:AA63 AA66:AA67 AE66:AE67 AA70:AA71 AE70:AE71 AA74:AA75 AE74:AE75 AA178:AA179 AE178:AE179 AE182:AE183 AA182:AA183 AA186:AA187 AE186:AE187 AA190:AA191 AE190:AE191">
      <formula1>$BF$38:$BF$52</formula1>
    </dataValidation>
    <dataValidation type="list" errorStyle="information" sqref="O14:O197">
      <formula1>$B$18:$B$43</formula1>
    </dataValidation>
    <dataValidation type="list" allowBlank="1" showInputMessage="1" sqref="E18:E193">
      <formula1>$BD$20:$BD$46</formula1>
    </dataValidation>
    <dataValidation type="decimal" errorStyle="information" allowBlank="1" showErrorMessage="1" errorTitle="負荷の平均効率" error="０～１ の間の数値を入れて下さい。" sqref="Q18:Q193">
      <formula1>0</formula1>
      <formula2>1</formula2>
    </dataValidation>
    <dataValidation type="decimal" errorStyle="information" allowBlank="1" showErrorMessage="1" errorTitle="負荷の平均力率" error="０．０００１～１．００の間の数値を入れて下さい。" sqref="R18:R193">
      <formula1>0.01</formula1>
      <formula2>1</formula2>
    </dataValidation>
    <dataValidation type="decimal" errorStyle="information" allowBlank="1" showErrorMessage="1" errorTitle="需要率" error="０．０００１～１．００の間の数値を入れて下さい。" sqref="T18:T193">
      <formula1>0.01</formula1>
      <formula2>1</formula2>
    </dataValidation>
  </dataValidations>
  <pageMargins left="0.70866141732283472" right="0.70866141732283472" top="0.74803149606299213" bottom="0.74803149606299213" header="0.31496062992125984" footer="0.31496062992125984"/>
  <pageSetup paperSize="8" scale="78" orientation="landscape" horizontalDpi="4294967292" verticalDpi="300" r:id="rId1"/>
  <headerFooter alignWithMargins="0"/>
  <rowBreaks count="2" manualBreakCount="2">
    <brk id="77" min="3" max="37" man="1"/>
    <brk id="137" min="3" max="3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5"/>
  <sheetViews>
    <sheetView view="pageBreakPreview" zoomScale="60" zoomScaleNormal="75" workbookViewId="0"/>
  </sheetViews>
  <sheetFormatPr defaultRowHeight="13.5" x14ac:dyDescent="0.15"/>
  <cols>
    <col min="1" max="1" width="1.125" style="3" customWidth="1"/>
    <col min="2" max="2" width="6.125" style="3" customWidth="1"/>
    <col min="3" max="5" width="8.625" style="3" customWidth="1"/>
    <col min="6" max="6" width="1.125" style="3" customWidth="1"/>
    <col min="7" max="7" width="6.125" style="3" customWidth="1"/>
    <col min="8" max="10" width="8.625" style="3" customWidth="1"/>
    <col min="11" max="11" width="1.125" style="3" customWidth="1"/>
    <col min="12" max="12" width="6.125" style="3" customWidth="1"/>
    <col min="13" max="15" width="8.625" style="3" customWidth="1"/>
    <col min="16" max="16" width="1.125" style="3" customWidth="1"/>
    <col min="17" max="17" width="6.125" style="3" customWidth="1"/>
    <col min="18" max="20" width="8.625" style="3" customWidth="1"/>
    <col min="21" max="21" width="1.125" style="3" customWidth="1"/>
    <col min="22" max="22" width="6.125" style="3" customWidth="1"/>
    <col min="23" max="24" width="8.625" style="3" customWidth="1"/>
    <col min="25" max="25" width="1.125" style="3" customWidth="1"/>
    <col min="26" max="26" width="6.125" style="3" customWidth="1"/>
    <col min="27" max="28" width="8.625" style="3" customWidth="1"/>
    <col min="29" max="29" width="1.125" style="3" customWidth="1"/>
    <col min="30" max="16384" width="9" style="3"/>
  </cols>
  <sheetData>
    <row r="1" spans="1:28" s="4" customFormat="1" ht="17.25" x14ac:dyDescent="0.15">
      <c r="A1" s="3"/>
      <c r="B1" s="413" t="s">
        <v>69</v>
      </c>
      <c r="C1" s="413"/>
    </row>
    <row r="2" spans="1:28" s="4" customFormat="1" ht="12" customHeight="1" x14ac:dyDescent="0.2">
      <c r="B2" s="5" t="s">
        <v>70</v>
      </c>
      <c r="C2" s="412" t="s">
        <v>71</v>
      </c>
      <c r="D2" s="412"/>
      <c r="E2" s="6" t="s">
        <v>72</v>
      </c>
      <c r="F2" s="7"/>
      <c r="G2" s="5" t="s">
        <v>70</v>
      </c>
      <c r="H2" s="412" t="s">
        <v>73</v>
      </c>
      <c r="I2" s="412"/>
      <c r="J2" s="6" t="s">
        <v>74</v>
      </c>
      <c r="K2" s="7"/>
      <c r="L2" s="5" t="s">
        <v>70</v>
      </c>
      <c r="M2" s="412" t="s">
        <v>75</v>
      </c>
      <c r="N2" s="412"/>
      <c r="O2" s="6" t="s">
        <v>72</v>
      </c>
      <c r="P2" s="7"/>
      <c r="Q2" s="5" t="s">
        <v>70</v>
      </c>
      <c r="R2" s="412" t="s">
        <v>76</v>
      </c>
      <c r="S2" s="412"/>
      <c r="T2" s="6" t="s">
        <v>74</v>
      </c>
      <c r="U2" s="3"/>
      <c r="V2" s="410" t="s">
        <v>77</v>
      </c>
      <c r="W2" s="410"/>
      <c r="X2" s="6" t="s">
        <v>78</v>
      </c>
      <c r="Z2" s="410" t="s">
        <v>79</v>
      </c>
      <c r="AA2" s="410"/>
      <c r="AB2" s="6" t="s">
        <v>78</v>
      </c>
    </row>
    <row r="3" spans="1:28" s="4" customFormat="1" ht="12" customHeight="1" x14ac:dyDescent="0.15">
      <c r="B3" s="8" t="s">
        <v>80</v>
      </c>
      <c r="C3" s="9" t="s">
        <v>81</v>
      </c>
      <c r="D3" s="9" t="s">
        <v>82</v>
      </c>
      <c r="E3" s="9" t="s">
        <v>83</v>
      </c>
      <c r="F3" s="7"/>
      <c r="G3" s="8" t="s">
        <v>80</v>
      </c>
      <c r="H3" s="9" t="s">
        <v>81</v>
      </c>
      <c r="I3" s="9" t="s">
        <v>82</v>
      </c>
      <c r="J3" s="9" t="s">
        <v>83</v>
      </c>
      <c r="K3" s="7"/>
      <c r="L3" s="8" t="s">
        <v>80</v>
      </c>
      <c r="M3" s="9" t="s">
        <v>81</v>
      </c>
      <c r="N3" s="9" t="s">
        <v>82</v>
      </c>
      <c r="O3" s="9" t="s">
        <v>83</v>
      </c>
      <c r="P3" s="7"/>
      <c r="Q3" s="8" t="s">
        <v>80</v>
      </c>
      <c r="R3" s="9" t="s">
        <v>81</v>
      </c>
      <c r="S3" s="9" t="s">
        <v>82</v>
      </c>
      <c r="T3" s="9" t="s">
        <v>83</v>
      </c>
      <c r="U3" s="3"/>
      <c r="V3" s="10" t="s">
        <v>84</v>
      </c>
      <c r="W3" s="10" t="s">
        <v>85</v>
      </c>
      <c r="X3" s="10" t="s">
        <v>86</v>
      </c>
      <c r="Z3" s="10" t="s">
        <v>84</v>
      </c>
      <c r="AA3" s="10" t="s">
        <v>85</v>
      </c>
      <c r="AB3" s="10" t="s">
        <v>86</v>
      </c>
    </row>
    <row r="4" spans="1:28" s="4" customFormat="1" ht="12" customHeight="1" x14ac:dyDescent="0.15">
      <c r="B4" s="11">
        <v>10</v>
      </c>
      <c r="C4" s="12">
        <v>2.0099999999999998</v>
      </c>
      <c r="D4" s="12">
        <v>1.74</v>
      </c>
      <c r="E4" s="13">
        <f t="shared" ref="E4:E16" si="0">IF(D4="","",SQRT((C4^2)+(D4^2)))</f>
        <v>2.6585146228674383</v>
      </c>
      <c r="F4" s="14"/>
      <c r="G4" s="11">
        <v>10</v>
      </c>
      <c r="H4" s="12">
        <v>2.72</v>
      </c>
      <c r="I4" s="12">
        <v>3.5</v>
      </c>
      <c r="J4" s="13">
        <f t="shared" ref="J4:J16" si="1">IF(I4="","",SQRT((H4^2)+(I4^2)))</f>
        <v>4.4326515766525123</v>
      </c>
      <c r="K4" s="14"/>
      <c r="L4" s="11">
        <v>10</v>
      </c>
      <c r="M4" s="12">
        <v>1.92</v>
      </c>
      <c r="N4" s="12">
        <v>1.93</v>
      </c>
      <c r="O4" s="13">
        <f t="shared" ref="O4:O16" si="2">IF(N4="","",SQRT((M4^2)+(N4^2)))</f>
        <v>2.7223702907576697</v>
      </c>
      <c r="P4" s="14"/>
      <c r="Q4" s="11">
        <v>10</v>
      </c>
      <c r="R4" s="12">
        <v>2.72</v>
      </c>
      <c r="S4" s="12">
        <v>3.5</v>
      </c>
      <c r="T4" s="13">
        <f t="shared" ref="T4:T16" si="3">IF(S4="","",SQRT((R4^2)+(S4^2)))</f>
        <v>4.4326515766525123</v>
      </c>
      <c r="U4" s="3"/>
      <c r="V4" s="15" t="s">
        <v>87</v>
      </c>
      <c r="W4" s="15" t="s">
        <v>88</v>
      </c>
      <c r="X4" s="15" t="s">
        <v>89</v>
      </c>
      <c r="Z4" s="15" t="s">
        <v>87</v>
      </c>
      <c r="AA4" s="15" t="s">
        <v>90</v>
      </c>
      <c r="AB4" s="15" t="s">
        <v>89</v>
      </c>
    </row>
    <row r="5" spans="1:28" s="4" customFormat="1" ht="12" customHeight="1" x14ac:dyDescent="0.15">
      <c r="B5" s="11">
        <v>20</v>
      </c>
      <c r="C5" s="12">
        <v>1.77</v>
      </c>
      <c r="D5" s="12">
        <v>1.82</v>
      </c>
      <c r="E5" s="13">
        <f t="shared" si="0"/>
        <v>2.5387595396177245</v>
      </c>
      <c r="F5" s="14"/>
      <c r="G5" s="11">
        <v>20</v>
      </c>
      <c r="H5" s="12">
        <v>1.99</v>
      </c>
      <c r="I5" s="12">
        <v>4.6399999999999997</v>
      </c>
      <c r="J5" s="13">
        <f t="shared" si="1"/>
        <v>5.0487325142059172</v>
      </c>
      <c r="K5" s="14"/>
      <c r="L5" s="11">
        <v>20</v>
      </c>
      <c r="M5" s="12">
        <v>1.68</v>
      </c>
      <c r="N5" s="12">
        <v>2.04</v>
      </c>
      <c r="O5" s="13">
        <f t="shared" si="2"/>
        <v>2.6427258654654286</v>
      </c>
      <c r="P5" s="14"/>
      <c r="Q5" s="11">
        <v>20</v>
      </c>
      <c r="R5" s="12">
        <v>1.99</v>
      </c>
      <c r="S5" s="12">
        <v>4.6399999999999997</v>
      </c>
      <c r="T5" s="13">
        <f t="shared" si="3"/>
        <v>5.0487325142059172</v>
      </c>
      <c r="U5" s="3"/>
      <c r="V5" s="16"/>
      <c r="W5" s="17" t="s">
        <v>91</v>
      </c>
      <c r="X5" s="17" t="s">
        <v>91</v>
      </c>
      <c r="Z5" s="16"/>
      <c r="AA5" s="17" t="s">
        <v>91</v>
      </c>
      <c r="AB5" s="17" t="s">
        <v>91</v>
      </c>
    </row>
    <row r="6" spans="1:28" s="4" customFormat="1" ht="12" customHeight="1" x14ac:dyDescent="0.15">
      <c r="A6" s="3"/>
      <c r="B6" s="11">
        <v>30</v>
      </c>
      <c r="C6" s="12">
        <v>1.56</v>
      </c>
      <c r="D6" s="12">
        <v>2.37</v>
      </c>
      <c r="E6" s="13">
        <f t="shared" si="0"/>
        <v>2.8373403038761493</v>
      </c>
      <c r="F6" s="18"/>
      <c r="G6" s="11">
        <v>30</v>
      </c>
      <c r="H6" s="12">
        <v>1.56</v>
      </c>
      <c r="I6" s="12">
        <v>4.28</v>
      </c>
      <c r="J6" s="13">
        <f t="shared" si="1"/>
        <v>4.5554363128025406</v>
      </c>
      <c r="K6" s="18"/>
      <c r="L6" s="11">
        <v>30</v>
      </c>
      <c r="M6" s="12">
        <v>1.51</v>
      </c>
      <c r="N6" s="12">
        <v>2.6</v>
      </c>
      <c r="O6" s="13">
        <f t="shared" si="2"/>
        <v>3.0066759053812238</v>
      </c>
      <c r="P6" s="18"/>
      <c r="Q6" s="11">
        <v>30</v>
      </c>
      <c r="R6" s="12">
        <v>1.56</v>
      </c>
      <c r="S6" s="12">
        <v>4.28</v>
      </c>
      <c r="T6" s="13">
        <f t="shared" si="3"/>
        <v>4.5554363128025406</v>
      </c>
      <c r="U6" s="3"/>
      <c r="V6" s="19">
        <v>2</v>
      </c>
      <c r="W6" s="20">
        <v>10.7</v>
      </c>
      <c r="X6" s="20">
        <v>9.9199999999999997E-2</v>
      </c>
      <c r="Y6" s="3"/>
      <c r="Z6" s="19">
        <v>8</v>
      </c>
      <c r="AA6" s="20">
        <v>3.01</v>
      </c>
      <c r="AB6" s="20">
        <v>0.114</v>
      </c>
    </row>
    <row r="7" spans="1:28" s="4" customFormat="1" ht="12" customHeight="1" x14ac:dyDescent="0.15">
      <c r="A7" s="3"/>
      <c r="B7" s="11">
        <v>50</v>
      </c>
      <c r="C7" s="12">
        <v>1.43</v>
      </c>
      <c r="D7" s="12">
        <v>2.27</v>
      </c>
      <c r="E7" s="13">
        <f t="shared" si="0"/>
        <v>2.6828715958837837</v>
      </c>
      <c r="F7" s="18"/>
      <c r="G7" s="11">
        <v>50</v>
      </c>
      <c r="H7" s="12">
        <v>1.81</v>
      </c>
      <c r="I7" s="12">
        <v>3.54</v>
      </c>
      <c r="J7" s="13">
        <f t="shared" si="1"/>
        <v>3.9758898375080767</v>
      </c>
      <c r="K7" s="18"/>
      <c r="L7" s="11">
        <v>50</v>
      </c>
      <c r="M7" s="12">
        <v>1.39</v>
      </c>
      <c r="N7" s="12">
        <v>2.5499999999999998</v>
      </c>
      <c r="O7" s="13">
        <f t="shared" si="2"/>
        <v>2.90423828223512</v>
      </c>
      <c r="P7" s="18"/>
      <c r="Q7" s="11">
        <v>50</v>
      </c>
      <c r="R7" s="12">
        <v>1.81</v>
      </c>
      <c r="S7" s="12">
        <v>3.54</v>
      </c>
      <c r="T7" s="13">
        <f t="shared" si="3"/>
        <v>3.9758898375080767</v>
      </c>
      <c r="U7" s="3"/>
      <c r="V7" s="19">
        <v>3.5</v>
      </c>
      <c r="W7" s="20">
        <v>6.02</v>
      </c>
      <c r="X7" s="20">
        <v>9.1399999999999995E-2</v>
      </c>
      <c r="Y7" s="3"/>
      <c r="Z7" s="19">
        <v>14</v>
      </c>
      <c r="AA7" s="20">
        <v>1.71</v>
      </c>
      <c r="AB7" s="20">
        <v>0.107</v>
      </c>
    </row>
    <row r="8" spans="1:28" s="4" customFormat="1" ht="12" customHeight="1" x14ac:dyDescent="0.15">
      <c r="A8" s="3"/>
      <c r="B8" s="11">
        <v>75</v>
      </c>
      <c r="C8" s="12">
        <v>1.53</v>
      </c>
      <c r="D8" s="12">
        <v>1.95</v>
      </c>
      <c r="E8" s="13">
        <f t="shared" si="0"/>
        <v>2.4785883078881819</v>
      </c>
      <c r="F8" s="18"/>
      <c r="G8" s="11">
        <v>75</v>
      </c>
      <c r="H8" s="12">
        <v>1.54</v>
      </c>
      <c r="I8" s="12">
        <v>3.6</v>
      </c>
      <c r="J8" s="13">
        <f t="shared" si="1"/>
        <v>3.915558708537008</v>
      </c>
      <c r="K8" s="18"/>
      <c r="L8" s="11">
        <v>75</v>
      </c>
      <c r="M8" s="12">
        <v>1.43</v>
      </c>
      <c r="N8" s="12">
        <v>2.15</v>
      </c>
      <c r="O8" s="13">
        <f t="shared" si="2"/>
        <v>2.5821309029559285</v>
      </c>
      <c r="P8" s="18"/>
      <c r="Q8" s="11">
        <v>75</v>
      </c>
      <c r="R8" s="12">
        <v>1.54</v>
      </c>
      <c r="S8" s="12">
        <v>3.6</v>
      </c>
      <c r="T8" s="13">
        <f t="shared" si="3"/>
        <v>3.915558708537008</v>
      </c>
      <c r="U8" s="3"/>
      <c r="V8" s="19">
        <v>5.5</v>
      </c>
      <c r="W8" s="20">
        <v>3.85</v>
      </c>
      <c r="X8" s="20">
        <v>9.1399999999999995E-2</v>
      </c>
      <c r="Y8" s="3"/>
      <c r="Z8" s="19">
        <v>22</v>
      </c>
      <c r="AA8" s="20">
        <v>1.08</v>
      </c>
      <c r="AB8" s="20">
        <v>0.10199999999999999</v>
      </c>
    </row>
    <row r="9" spans="1:28" s="4" customFormat="1" ht="12" customHeight="1" x14ac:dyDescent="0.15">
      <c r="A9" s="3"/>
      <c r="B9" s="11">
        <v>100</v>
      </c>
      <c r="C9" s="12">
        <v>1.54</v>
      </c>
      <c r="D9" s="12">
        <v>2.29</v>
      </c>
      <c r="E9" s="13">
        <f t="shared" si="0"/>
        <v>2.7596557756357947</v>
      </c>
      <c r="F9" s="18"/>
      <c r="G9" s="11">
        <v>100</v>
      </c>
      <c r="H9" s="12">
        <v>1.57</v>
      </c>
      <c r="I9" s="12">
        <v>3.88</v>
      </c>
      <c r="J9" s="13">
        <f t="shared" si="1"/>
        <v>4.1856062882215763</v>
      </c>
      <c r="K9" s="18"/>
      <c r="L9" s="11">
        <v>100</v>
      </c>
      <c r="M9" s="12">
        <v>1.42</v>
      </c>
      <c r="N9" s="12">
        <v>2.54</v>
      </c>
      <c r="O9" s="13">
        <f t="shared" si="2"/>
        <v>2.9099828178186895</v>
      </c>
      <c r="P9" s="18"/>
      <c r="Q9" s="11">
        <v>100</v>
      </c>
      <c r="R9" s="12">
        <v>1.57</v>
      </c>
      <c r="S9" s="12">
        <v>3.88</v>
      </c>
      <c r="T9" s="13">
        <f t="shared" si="3"/>
        <v>4.1856062882215763</v>
      </c>
      <c r="U9" s="3"/>
      <c r="V9" s="19">
        <v>8</v>
      </c>
      <c r="W9" s="20">
        <v>2.67</v>
      </c>
      <c r="X9" s="20">
        <v>9.1399999999999995E-2</v>
      </c>
      <c r="Y9" s="3"/>
      <c r="Z9" s="19">
        <v>38</v>
      </c>
      <c r="AA9" s="20">
        <v>0.626</v>
      </c>
      <c r="AB9" s="20">
        <v>9.3899999999999997E-2</v>
      </c>
    </row>
    <row r="10" spans="1:28" s="4" customFormat="1" ht="12" customHeight="1" x14ac:dyDescent="0.15">
      <c r="A10" s="3"/>
      <c r="B10" s="11">
        <v>150</v>
      </c>
      <c r="C10" s="12">
        <v>1.41</v>
      </c>
      <c r="D10" s="12">
        <v>2.36</v>
      </c>
      <c r="E10" s="13">
        <f t="shared" si="0"/>
        <v>2.7491271342009629</v>
      </c>
      <c r="F10" s="18"/>
      <c r="G10" s="11">
        <v>150</v>
      </c>
      <c r="H10" s="12">
        <v>1.41</v>
      </c>
      <c r="I10" s="12">
        <v>4.33</v>
      </c>
      <c r="J10" s="13">
        <f t="shared" si="1"/>
        <v>4.5537896306263423</v>
      </c>
      <c r="K10" s="18"/>
      <c r="L10" s="11">
        <v>150</v>
      </c>
      <c r="M10" s="12">
        <v>1.37</v>
      </c>
      <c r="N10" s="12">
        <v>2.73</v>
      </c>
      <c r="O10" s="13">
        <f t="shared" si="2"/>
        <v>3.0544721311545797</v>
      </c>
      <c r="P10" s="18"/>
      <c r="Q10" s="11">
        <v>150</v>
      </c>
      <c r="R10" s="12">
        <v>1.41</v>
      </c>
      <c r="S10" s="12">
        <v>4.33</v>
      </c>
      <c r="T10" s="13">
        <f t="shared" si="3"/>
        <v>4.5537896306263423</v>
      </c>
      <c r="U10" s="3"/>
      <c r="V10" s="19">
        <v>14</v>
      </c>
      <c r="W10" s="20">
        <v>1.5</v>
      </c>
      <c r="X10" s="20">
        <v>8.3000000000000004E-2</v>
      </c>
      <c r="Y10" s="3"/>
      <c r="Z10" s="19">
        <v>60</v>
      </c>
      <c r="AA10" s="20">
        <v>0.39700000000000002</v>
      </c>
      <c r="AB10" s="20">
        <v>9.0499999999999997E-2</v>
      </c>
    </row>
    <row r="11" spans="1:28" s="4" customFormat="1" ht="12" customHeight="1" x14ac:dyDescent="0.15">
      <c r="A11" s="3"/>
      <c r="B11" s="11">
        <v>200</v>
      </c>
      <c r="C11" s="12">
        <v>1.35</v>
      </c>
      <c r="D11" s="12">
        <v>2.7</v>
      </c>
      <c r="E11" s="13">
        <f t="shared" si="0"/>
        <v>3.0186917696247164</v>
      </c>
      <c r="F11" s="18"/>
      <c r="G11" s="11">
        <v>200</v>
      </c>
      <c r="H11" s="12">
        <v>1.35</v>
      </c>
      <c r="I11" s="12">
        <v>4.88</v>
      </c>
      <c r="J11" s="13">
        <f t="shared" si="1"/>
        <v>5.0632894446199694</v>
      </c>
      <c r="K11" s="18"/>
      <c r="L11" s="11">
        <v>200</v>
      </c>
      <c r="M11" s="12">
        <v>1.31</v>
      </c>
      <c r="N11" s="12">
        <v>3.14</v>
      </c>
      <c r="O11" s="13">
        <f t="shared" si="2"/>
        <v>3.4023080401398107</v>
      </c>
      <c r="P11" s="18"/>
      <c r="Q11" s="11">
        <v>200</v>
      </c>
      <c r="R11" s="12">
        <v>1.35</v>
      </c>
      <c r="S11" s="12">
        <v>4.88</v>
      </c>
      <c r="T11" s="13">
        <f t="shared" si="3"/>
        <v>5.0632894446199694</v>
      </c>
      <c r="U11" s="3"/>
      <c r="V11" s="19">
        <v>22</v>
      </c>
      <c r="W11" s="20">
        <v>0.95299999999999996</v>
      </c>
      <c r="X11" s="20">
        <v>8.5800000000000001E-2</v>
      </c>
      <c r="Y11" s="3"/>
      <c r="Z11" s="19">
        <v>100</v>
      </c>
      <c r="AA11" s="20">
        <v>0.24</v>
      </c>
      <c r="AB11" s="20">
        <v>8.8300000000000003E-2</v>
      </c>
    </row>
    <row r="12" spans="1:28" s="4" customFormat="1" ht="12" customHeight="1" x14ac:dyDescent="0.15">
      <c r="A12" s="3"/>
      <c r="B12" s="11">
        <v>300</v>
      </c>
      <c r="C12" s="12">
        <v>1.31</v>
      </c>
      <c r="D12" s="12">
        <v>3.7</v>
      </c>
      <c r="E12" s="13">
        <f t="shared" si="0"/>
        <v>3.9250605090877264</v>
      </c>
      <c r="F12" s="18"/>
      <c r="G12" s="11">
        <v>300</v>
      </c>
      <c r="H12" s="12">
        <v>1.1100000000000001</v>
      </c>
      <c r="I12" s="12">
        <v>4.99</v>
      </c>
      <c r="J12" s="13">
        <f t="shared" si="1"/>
        <v>5.1119663535668938</v>
      </c>
      <c r="K12" s="18"/>
      <c r="L12" s="11">
        <v>300</v>
      </c>
      <c r="M12" s="12">
        <v>1.29</v>
      </c>
      <c r="N12" s="12">
        <v>4.28</v>
      </c>
      <c r="O12" s="13">
        <f t="shared" si="2"/>
        <v>4.4701789673345296</v>
      </c>
      <c r="P12" s="18"/>
      <c r="Q12" s="11">
        <v>300</v>
      </c>
      <c r="R12" s="12">
        <v>1.1100000000000001</v>
      </c>
      <c r="S12" s="12">
        <v>4.99</v>
      </c>
      <c r="T12" s="13">
        <f t="shared" si="3"/>
        <v>5.1119663535668938</v>
      </c>
      <c r="U12" s="3"/>
      <c r="V12" s="19">
        <v>38</v>
      </c>
      <c r="W12" s="20">
        <v>0.56299999999999994</v>
      </c>
      <c r="X12" s="20">
        <v>7.6100000000000001E-2</v>
      </c>
      <c r="Y12" s="3"/>
      <c r="Z12" s="19">
        <v>150</v>
      </c>
      <c r="AA12" s="20">
        <v>0.159</v>
      </c>
      <c r="AB12" s="20">
        <v>8.3900000000000002E-2</v>
      </c>
    </row>
    <row r="13" spans="1:28" s="4" customFormat="1" ht="12" customHeight="1" x14ac:dyDescent="0.15">
      <c r="A13" s="3"/>
      <c r="B13" s="11">
        <v>500</v>
      </c>
      <c r="C13" s="12">
        <v>1.1100000000000001</v>
      </c>
      <c r="D13" s="12">
        <v>4.1100000000000003</v>
      </c>
      <c r="E13" s="13">
        <f t="shared" si="0"/>
        <v>4.2572526352097082</v>
      </c>
      <c r="F13" s="18"/>
      <c r="G13" s="11"/>
      <c r="H13" s="12"/>
      <c r="I13" s="12"/>
      <c r="J13" s="13" t="str">
        <f t="shared" si="1"/>
        <v/>
      </c>
      <c r="K13" s="18"/>
      <c r="L13" s="11">
        <v>500</v>
      </c>
      <c r="M13" s="12">
        <v>1.1000000000000001</v>
      </c>
      <c r="N13" s="12">
        <v>4.75</v>
      </c>
      <c r="O13" s="13">
        <f t="shared" si="2"/>
        <v>4.8757050772170381</v>
      </c>
      <c r="P13" s="18"/>
      <c r="Q13" s="11"/>
      <c r="R13" s="12"/>
      <c r="S13" s="12"/>
      <c r="T13" s="13" t="str">
        <f t="shared" si="3"/>
        <v/>
      </c>
      <c r="U13" s="3"/>
      <c r="V13" s="19">
        <v>60</v>
      </c>
      <c r="W13" s="20">
        <v>0.35099999999999998</v>
      </c>
      <c r="X13" s="20">
        <v>7.8600000000000003E-2</v>
      </c>
      <c r="Y13" s="3"/>
      <c r="Z13" s="19">
        <v>200</v>
      </c>
      <c r="AA13" s="20">
        <v>0.121</v>
      </c>
      <c r="AB13" s="20">
        <v>8.4500000000000006E-2</v>
      </c>
    </row>
    <row r="14" spans="1:28" s="4" customFormat="1" ht="12" customHeight="1" x14ac:dyDescent="0.15">
      <c r="A14" s="3"/>
      <c r="B14" s="11"/>
      <c r="C14" s="12"/>
      <c r="D14" s="12"/>
      <c r="E14" s="13" t="str">
        <f t="shared" si="0"/>
        <v/>
      </c>
      <c r="F14" s="18"/>
      <c r="G14" s="11"/>
      <c r="H14" s="12"/>
      <c r="I14" s="12"/>
      <c r="J14" s="13" t="str">
        <f t="shared" si="1"/>
        <v/>
      </c>
      <c r="K14" s="18"/>
      <c r="L14" s="11"/>
      <c r="M14" s="12"/>
      <c r="N14" s="12"/>
      <c r="O14" s="13" t="str">
        <f t="shared" si="2"/>
        <v/>
      </c>
      <c r="P14" s="18"/>
      <c r="Q14" s="11"/>
      <c r="R14" s="12"/>
      <c r="S14" s="12"/>
      <c r="T14" s="13" t="str">
        <f t="shared" si="3"/>
        <v/>
      </c>
      <c r="U14" s="3"/>
      <c r="V14" s="19">
        <v>100</v>
      </c>
      <c r="W14" s="20">
        <v>0.20899999999999999</v>
      </c>
      <c r="X14" s="20">
        <v>7.6100000000000001E-2</v>
      </c>
      <c r="Y14" s="3"/>
      <c r="Z14" s="19">
        <v>250</v>
      </c>
      <c r="AA14" s="20">
        <v>9.8100000000000007E-2</v>
      </c>
      <c r="AB14" s="20">
        <v>8.2600000000000007E-2</v>
      </c>
    </row>
    <row r="15" spans="1:28" s="4" customFormat="1" ht="12" customHeight="1" x14ac:dyDescent="0.15">
      <c r="A15" s="3"/>
      <c r="B15" s="11"/>
      <c r="C15" s="12"/>
      <c r="D15" s="12"/>
      <c r="E15" s="13" t="str">
        <f t="shared" si="0"/>
        <v/>
      </c>
      <c r="F15" s="18"/>
      <c r="G15" s="11"/>
      <c r="H15" s="12"/>
      <c r="I15" s="12"/>
      <c r="J15" s="13" t="str">
        <f t="shared" si="1"/>
        <v/>
      </c>
      <c r="K15" s="18"/>
      <c r="L15" s="11"/>
      <c r="M15" s="12"/>
      <c r="N15" s="12"/>
      <c r="O15" s="13" t="str">
        <f t="shared" si="2"/>
        <v/>
      </c>
      <c r="P15" s="18"/>
      <c r="Q15" s="11"/>
      <c r="R15" s="12"/>
      <c r="S15" s="12"/>
      <c r="T15" s="13" t="str">
        <f t="shared" si="3"/>
        <v/>
      </c>
      <c r="U15" s="3"/>
      <c r="V15" s="19">
        <v>150</v>
      </c>
      <c r="W15" s="20">
        <v>0.13700000000000001</v>
      </c>
      <c r="X15" s="20">
        <v>7.4399999999999994E-2</v>
      </c>
      <c r="Y15" s="3"/>
      <c r="Z15" s="19">
        <v>325</v>
      </c>
      <c r="AA15" s="20">
        <v>7.6499999999999999E-2</v>
      </c>
      <c r="AB15" s="20">
        <v>8.0699999999999994E-2</v>
      </c>
    </row>
    <row r="16" spans="1:28" s="4" customFormat="1" ht="12" customHeight="1" x14ac:dyDescent="0.15">
      <c r="A16" s="3"/>
      <c r="B16" s="11"/>
      <c r="C16" s="12"/>
      <c r="D16" s="12"/>
      <c r="E16" s="13" t="str">
        <f t="shared" si="0"/>
        <v/>
      </c>
      <c r="F16" s="18"/>
      <c r="G16" s="11"/>
      <c r="H16" s="12"/>
      <c r="I16" s="12"/>
      <c r="J16" s="13" t="str">
        <f t="shared" si="1"/>
        <v/>
      </c>
      <c r="K16" s="18"/>
      <c r="L16" s="11"/>
      <c r="M16" s="12"/>
      <c r="N16" s="12"/>
      <c r="O16" s="13" t="str">
        <f t="shared" si="2"/>
        <v/>
      </c>
      <c r="P16" s="18"/>
      <c r="Q16" s="11"/>
      <c r="R16" s="12"/>
      <c r="S16" s="12"/>
      <c r="T16" s="13" t="str">
        <f t="shared" si="3"/>
        <v/>
      </c>
      <c r="U16" s="3"/>
      <c r="V16" s="19">
        <v>200</v>
      </c>
      <c r="W16" s="20">
        <v>0.107</v>
      </c>
      <c r="X16" s="20">
        <v>7.3999999999999996E-2</v>
      </c>
      <c r="Y16" s="3"/>
      <c r="Z16" s="19">
        <v>400</v>
      </c>
      <c r="AA16" s="20">
        <v>6.3399999999999998E-2</v>
      </c>
      <c r="AB16" s="20">
        <v>7.9200000000000007E-2</v>
      </c>
    </row>
    <row r="17" spans="1:28" s="4" customFormat="1" ht="12" customHeight="1" x14ac:dyDescent="0.15">
      <c r="A17" s="3"/>
      <c r="B17" s="18"/>
      <c r="C17" s="18"/>
      <c r="D17" s="18"/>
      <c r="E17" s="18"/>
      <c r="F17" s="18"/>
      <c r="G17" s="18"/>
      <c r="H17" s="18"/>
      <c r="I17" s="18"/>
      <c r="J17" s="18"/>
      <c r="K17" s="18"/>
      <c r="L17" s="18"/>
      <c r="M17" s="18"/>
      <c r="N17" s="18"/>
      <c r="O17" s="18"/>
      <c r="P17" s="18"/>
      <c r="Q17" s="18"/>
      <c r="R17" s="18"/>
      <c r="S17" s="18"/>
      <c r="T17" s="18"/>
      <c r="U17" s="3"/>
      <c r="V17" s="19">
        <v>250</v>
      </c>
      <c r="W17" s="20">
        <v>8.4000000000000005E-2</v>
      </c>
      <c r="X17" s="20">
        <v>7.2400000000000006E-2</v>
      </c>
      <c r="Y17" s="3"/>
      <c r="Z17" s="19">
        <v>500</v>
      </c>
      <c r="AA17" s="20">
        <v>5.1999999999999998E-2</v>
      </c>
      <c r="AB17" s="20">
        <v>7.9500000000000001E-2</v>
      </c>
    </row>
    <row r="18" spans="1:28" s="4" customFormat="1" ht="12" customHeight="1" x14ac:dyDescent="0.2">
      <c r="A18" s="3"/>
      <c r="B18" s="5" t="s">
        <v>70</v>
      </c>
      <c r="C18" s="412" t="s">
        <v>92</v>
      </c>
      <c r="D18" s="412"/>
      <c r="E18" s="6" t="s">
        <v>72</v>
      </c>
      <c r="F18" s="18"/>
      <c r="G18" s="5" t="s">
        <v>70</v>
      </c>
      <c r="H18" s="412" t="s">
        <v>93</v>
      </c>
      <c r="I18" s="412"/>
      <c r="J18" s="6" t="s">
        <v>74</v>
      </c>
      <c r="K18" s="18"/>
      <c r="L18" s="5" t="s">
        <v>70</v>
      </c>
      <c r="M18" s="412" t="s">
        <v>94</v>
      </c>
      <c r="N18" s="412"/>
      <c r="O18" s="6" t="s">
        <v>72</v>
      </c>
      <c r="P18" s="18"/>
      <c r="Q18" s="5" t="s">
        <v>70</v>
      </c>
      <c r="R18" s="412" t="s">
        <v>95</v>
      </c>
      <c r="S18" s="412"/>
      <c r="T18" s="6" t="s">
        <v>74</v>
      </c>
      <c r="U18" s="3"/>
      <c r="V18" s="19">
        <v>325</v>
      </c>
      <c r="W18" s="20">
        <v>6.6600000000000006E-2</v>
      </c>
      <c r="X18" s="20">
        <v>7.1900000000000006E-2</v>
      </c>
      <c r="Y18" s="3"/>
      <c r="Z18" s="19">
        <v>600</v>
      </c>
      <c r="AA18" s="20">
        <v>4.48E-2</v>
      </c>
      <c r="AB18" s="20">
        <v>7.85E-2</v>
      </c>
    </row>
    <row r="19" spans="1:28" s="4" customFormat="1" ht="12" customHeight="1" x14ac:dyDescent="0.15">
      <c r="A19" s="3"/>
      <c r="B19" s="8" t="s">
        <v>80</v>
      </c>
      <c r="C19" s="9" t="s">
        <v>81</v>
      </c>
      <c r="D19" s="9" t="s">
        <v>82</v>
      </c>
      <c r="E19" s="9" t="s">
        <v>83</v>
      </c>
      <c r="F19" s="18"/>
      <c r="G19" s="8" t="s">
        <v>80</v>
      </c>
      <c r="H19" s="9" t="s">
        <v>81</v>
      </c>
      <c r="I19" s="9" t="s">
        <v>82</v>
      </c>
      <c r="J19" s="9" t="s">
        <v>83</v>
      </c>
      <c r="K19" s="18"/>
      <c r="L19" s="8" t="s">
        <v>80</v>
      </c>
      <c r="M19" s="9" t="s">
        <v>81</v>
      </c>
      <c r="N19" s="9" t="s">
        <v>82</v>
      </c>
      <c r="O19" s="9" t="s">
        <v>83</v>
      </c>
      <c r="P19" s="18"/>
      <c r="Q19" s="8" t="s">
        <v>80</v>
      </c>
      <c r="R19" s="9" t="s">
        <v>81</v>
      </c>
      <c r="S19" s="9" t="s">
        <v>82</v>
      </c>
      <c r="T19" s="9" t="s">
        <v>83</v>
      </c>
      <c r="U19" s="3"/>
      <c r="V19" s="19"/>
      <c r="W19" s="20"/>
      <c r="X19" s="20"/>
      <c r="Y19" s="3"/>
      <c r="Z19" s="19"/>
      <c r="AA19" s="20"/>
      <c r="AB19" s="20"/>
    </row>
    <row r="20" spans="1:28" s="4" customFormat="1" ht="12" customHeight="1" x14ac:dyDescent="0.15">
      <c r="A20" s="3"/>
      <c r="B20" s="11"/>
      <c r="C20" s="12"/>
      <c r="D20" s="12"/>
      <c r="E20" s="13" t="str">
        <f t="shared" ref="E20:E34" si="4">IF(D20="","",SQRT((C20^2)+(D20^2)))</f>
        <v/>
      </c>
      <c r="F20" s="18"/>
      <c r="G20" s="11"/>
      <c r="H20" s="12"/>
      <c r="I20" s="12"/>
      <c r="J20" s="13" t="str">
        <f t="shared" ref="J20:J34" si="5">IF(I20="","",SQRT((H20^2)+(I20^2)))</f>
        <v/>
      </c>
      <c r="K20" s="18"/>
      <c r="L20" s="11"/>
      <c r="M20" s="12"/>
      <c r="N20" s="12"/>
      <c r="O20" s="13" t="str">
        <f t="shared" ref="O20:O34" si="6">IF(N20="","",SQRT((M20^2)+(N20^2)))</f>
        <v/>
      </c>
      <c r="P20" s="18"/>
      <c r="Q20" s="11"/>
      <c r="R20" s="12"/>
      <c r="S20" s="12"/>
      <c r="T20" s="13" t="str">
        <f t="shared" ref="T20:T34" si="7">IF(S20="","",SQRT((R20^2)+(S20^2)))</f>
        <v/>
      </c>
      <c r="U20" s="3"/>
      <c r="V20" s="19"/>
      <c r="W20" s="20"/>
      <c r="X20" s="20"/>
      <c r="Y20" s="3"/>
      <c r="Z20" s="19"/>
      <c r="AA20" s="20"/>
      <c r="AB20" s="20"/>
    </row>
    <row r="21" spans="1:28" s="4" customFormat="1" ht="12" customHeight="1" x14ac:dyDescent="0.15">
      <c r="A21" s="3"/>
      <c r="B21" s="11">
        <v>20</v>
      </c>
      <c r="C21" s="12">
        <v>2.14</v>
      </c>
      <c r="D21" s="12">
        <v>0.98</v>
      </c>
      <c r="E21" s="13">
        <f t="shared" si="4"/>
        <v>2.3537204591879641</v>
      </c>
      <c r="F21" s="18"/>
      <c r="G21" s="11">
        <v>20</v>
      </c>
      <c r="H21" s="12">
        <v>3.39</v>
      </c>
      <c r="I21" s="12">
        <v>2.82</v>
      </c>
      <c r="J21" s="13">
        <f t="shared" si="5"/>
        <v>4.409591817844368</v>
      </c>
      <c r="K21" s="18"/>
      <c r="L21" s="11">
        <v>20</v>
      </c>
      <c r="M21" s="12">
        <v>1.97</v>
      </c>
      <c r="N21" s="12">
        <v>1.01</v>
      </c>
      <c r="O21" s="13">
        <f t="shared" si="6"/>
        <v>2.213820227570432</v>
      </c>
      <c r="P21" s="18"/>
      <c r="Q21" s="11">
        <v>20</v>
      </c>
      <c r="R21" s="12">
        <v>3.16</v>
      </c>
      <c r="S21" s="12">
        <v>3.03</v>
      </c>
      <c r="T21" s="13">
        <f t="shared" si="7"/>
        <v>4.3779561441384951</v>
      </c>
      <c r="U21" s="3"/>
      <c r="V21" s="19"/>
      <c r="W21" s="20"/>
      <c r="X21" s="20"/>
      <c r="Y21" s="3"/>
      <c r="Z21" s="19"/>
      <c r="AA21" s="20"/>
      <c r="AB21" s="20"/>
    </row>
    <row r="22" spans="1:28" s="4" customFormat="1" ht="12" customHeight="1" x14ac:dyDescent="0.15">
      <c r="A22" s="3"/>
      <c r="B22" s="11">
        <v>30</v>
      </c>
      <c r="C22" s="12">
        <v>1.91</v>
      </c>
      <c r="D22" s="12">
        <v>1.0900000000000001</v>
      </c>
      <c r="E22" s="13">
        <f t="shared" si="4"/>
        <v>2.1991361940543839</v>
      </c>
      <c r="F22" s="18"/>
      <c r="G22" s="11">
        <v>30</v>
      </c>
      <c r="H22" s="12">
        <v>2.83</v>
      </c>
      <c r="I22" s="12">
        <v>2.4900000000000002</v>
      </c>
      <c r="J22" s="13">
        <f t="shared" si="5"/>
        <v>3.7694827231332422</v>
      </c>
      <c r="K22" s="18"/>
      <c r="L22" s="11">
        <v>30</v>
      </c>
      <c r="M22" s="12">
        <v>1.78</v>
      </c>
      <c r="N22" s="12">
        <v>1.24</v>
      </c>
      <c r="O22" s="13">
        <f t="shared" si="6"/>
        <v>2.1693316943243142</v>
      </c>
      <c r="P22" s="18"/>
      <c r="Q22" s="11">
        <v>30</v>
      </c>
      <c r="R22" s="12">
        <v>2.84</v>
      </c>
      <c r="S22" s="12">
        <v>3.11</v>
      </c>
      <c r="T22" s="13">
        <f t="shared" si="7"/>
        <v>4.2116148921761587</v>
      </c>
      <c r="U22" s="3"/>
      <c r="V22" s="21"/>
      <c r="W22" s="22"/>
      <c r="X22" s="22"/>
      <c r="Y22" s="3"/>
      <c r="Z22" s="21"/>
      <c r="AA22" s="22"/>
      <c r="AB22" s="22"/>
    </row>
    <row r="23" spans="1:28" s="4" customFormat="1" ht="12" customHeight="1" x14ac:dyDescent="0.2">
      <c r="A23" s="3"/>
      <c r="B23" s="11">
        <v>50</v>
      </c>
      <c r="C23" s="12">
        <v>1.81</v>
      </c>
      <c r="D23" s="12">
        <v>1.31</v>
      </c>
      <c r="E23" s="13">
        <f t="shared" si="4"/>
        <v>2.2343231637343779</v>
      </c>
      <c r="F23" s="18"/>
      <c r="G23" s="11">
        <v>50</v>
      </c>
      <c r="H23" s="12">
        <v>1.98</v>
      </c>
      <c r="I23" s="12">
        <v>3.1</v>
      </c>
      <c r="J23" s="13">
        <f t="shared" si="5"/>
        <v>3.6783692038728248</v>
      </c>
      <c r="K23" s="18"/>
      <c r="L23" s="11">
        <v>50</v>
      </c>
      <c r="M23" s="12">
        <v>1.7</v>
      </c>
      <c r="N23" s="12">
        <v>1.46</v>
      </c>
      <c r="O23" s="13">
        <f t="shared" si="6"/>
        <v>2.2408926792686881</v>
      </c>
      <c r="P23" s="18"/>
      <c r="Q23" s="11">
        <v>50</v>
      </c>
      <c r="R23" s="12">
        <v>1.93</v>
      </c>
      <c r="S23" s="12">
        <v>3.12</v>
      </c>
      <c r="T23" s="13">
        <f t="shared" si="7"/>
        <v>3.6686918649567724</v>
      </c>
      <c r="U23" s="3"/>
      <c r="V23" s="410" t="s">
        <v>96</v>
      </c>
      <c r="W23" s="410"/>
      <c r="X23" s="6" t="s">
        <v>74</v>
      </c>
      <c r="Y23" s="3"/>
      <c r="Z23" s="410" t="s">
        <v>97</v>
      </c>
      <c r="AA23" s="410"/>
      <c r="AB23" s="6" t="s">
        <v>74</v>
      </c>
    </row>
    <row r="24" spans="1:28" s="4" customFormat="1" ht="12" customHeight="1" x14ac:dyDescent="0.15">
      <c r="A24" s="3"/>
      <c r="B24" s="11">
        <v>75</v>
      </c>
      <c r="C24" s="12">
        <v>1.78</v>
      </c>
      <c r="D24" s="12">
        <v>1.73</v>
      </c>
      <c r="E24" s="13">
        <f t="shared" si="4"/>
        <v>2.4821966078455593</v>
      </c>
      <c r="F24" s="18"/>
      <c r="G24" s="11">
        <v>75</v>
      </c>
      <c r="H24" s="12">
        <v>1.7</v>
      </c>
      <c r="I24" s="12">
        <v>3.6</v>
      </c>
      <c r="J24" s="13">
        <f t="shared" si="5"/>
        <v>3.981205847478877</v>
      </c>
      <c r="K24" s="18"/>
      <c r="L24" s="11">
        <v>75</v>
      </c>
      <c r="M24" s="12">
        <v>1.64</v>
      </c>
      <c r="N24" s="12">
        <v>1.93</v>
      </c>
      <c r="O24" s="13">
        <f t="shared" si="6"/>
        <v>2.5326863208853951</v>
      </c>
      <c r="P24" s="18"/>
      <c r="Q24" s="11">
        <v>75</v>
      </c>
      <c r="R24" s="12">
        <v>1.66</v>
      </c>
      <c r="S24" s="12">
        <v>4.17</v>
      </c>
      <c r="T24" s="13">
        <f t="shared" si="7"/>
        <v>4.4882624700433906</v>
      </c>
      <c r="U24" s="3"/>
      <c r="V24" s="10" t="s">
        <v>84</v>
      </c>
      <c r="W24" s="10" t="s">
        <v>85</v>
      </c>
      <c r="X24" s="10" t="s">
        <v>86</v>
      </c>
      <c r="Y24" s="3"/>
      <c r="Z24" s="10" t="s">
        <v>84</v>
      </c>
      <c r="AA24" s="10" t="s">
        <v>85</v>
      </c>
      <c r="AB24" s="10" t="s">
        <v>86</v>
      </c>
    </row>
    <row r="25" spans="1:28" s="4" customFormat="1" ht="12" customHeight="1" x14ac:dyDescent="0.15">
      <c r="A25" s="3"/>
      <c r="B25" s="11">
        <v>100</v>
      </c>
      <c r="C25" s="12">
        <v>1.73</v>
      </c>
      <c r="D25" s="12">
        <v>1.74</v>
      </c>
      <c r="E25" s="13">
        <f t="shared" si="4"/>
        <v>2.4536707195546841</v>
      </c>
      <c r="F25" s="18"/>
      <c r="G25" s="11">
        <v>100</v>
      </c>
      <c r="H25" s="12">
        <v>1.87</v>
      </c>
      <c r="I25" s="12">
        <v>3.83</v>
      </c>
      <c r="J25" s="13">
        <f t="shared" si="5"/>
        <v>4.2621356149235794</v>
      </c>
      <c r="K25" s="18"/>
      <c r="L25" s="11">
        <v>100</v>
      </c>
      <c r="M25" s="12">
        <v>1.6</v>
      </c>
      <c r="N25" s="12">
        <v>1.93</v>
      </c>
      <c r="O25" s="13">
        <f t="shared" si="6"/>
        <v>2.5069702830308938</v>
      </c>
      <c r="P25" s="18"/>
      <c r="Q25" s="11">
        <v>100</v>
      </c>
      <c r="R25" s="12">
        <v>1.91</v>
      </c>
      <c r="S25" s="12">
        <v>4.4000000000000004</v>
      </c>
      <c r="T25" s="13">
        <f t="shared" si="7"/>
        <v>4.7966759323514863</v>
      </c>
      <c r="U25" s="3"/>
      <c r="V25" s="15" t="s">
        <v>87</v>
      </c>
      <c r="W25" s="15" t="s">
        <v>90</v>
      </c>
      <c r="X25" s="15" t="s">
        <v>89</v>
      </c>
      <c r="Y25" s="3"/>
      <c r="Z25" s="15" t="s">
        <v>87</v>
      </c>
      <c r="AA25" s="15" t="s">
        <v>90</v>
      </c>
      <c r="AB25" s="15" t="s">
        <v>89</v>
      </c>
    </row>
    <row r="26" spans="1:28" s="4" customFormat="1" ht="12" customHeight="1" x14ac:dyDescent="0.15">
      <c r="A26" s="3"/>
      <c r="B26" s="11">
        <v>150</v>
      </c>
      <c r="C26" s="12">
        <v>1.61</v>
      </c>
      <c r="D26" s="12">
        <v>1.91</v>
      </c>
      <c r="E26" s="13">
        <f t="shared" si="4"/>
        <v>2.4980392310770463</v>
      </c>
      <c r="F26" s="18"/>
      <c r="G26" s="11">
        <v>150</v>
      </c>
      <c r="H26" s="12">
        <v>1.57</v>
      </c>
      <c r="I26" s="12">
        <v>3.93</v>
      </c>
      <c r="J26" s="13">
        <f t="shared" si="5"/>
        <v>4.2319971644602976</v>
      </c>
      <c r="K26" s="18"/>
      <c r="L26" s="11">
        <v>150</v>
      </c>
      <c r="M26" s="12">
        <v>1.5</v>
      </c>
      <c r="N26" s="12">
        <v>2.12</v>
      </c>
      <c r="O26" s="13">
        <f t="shared" si="6"/>
        <v>2.5969982672308429</v>
      </c>
      <c r="P26" s="18"/>
      <c r="Q26" s="11">
        <v>150</v>
      </c>
      <c r="R26" s="12">
        <v>1.56</v>
      </c>
      <c r="S26" s="12">
        <v>4.6900000000000004</v>
      </c>
      <c r="T26" s="13">
        <f t="shared" si="7"/>
        <v>4.9426409944482117</v>
      </c>
      <c r="U26" s="3"/>
      <c r="V26" s="16"/>
      <c r="W26" s="17" t="s">
        <v>91</v>
      </c>
      <c r="X26" s="17" t="s">
        <v>91</v>
      </c>
      <c r="Y26" s="3"/>
      <c r="Z26" s="16"/>
      <c r="AA26" s="17" t="s">
        <v>91</v>
      </c>
      <c r="AB26" s="17" t="s">
        <v>91</v>
      </c>
    </row>
    <row r="27" spans="1:28" s="4" customFormat="1" ht="12" customHeight="1" x14ac:dyDescent="0.15">
      <c r="A27" s="3"/>
      <c r="B27" s="11">
        <v>200</v>
      </c>
      <c r="C27" s="12">
        <v>1.63</v>
      </c>
      <c r="D27" s="12">
        <v>2.6</v>
      </c>
      <c r="E27" s="13">
        <f t="shared" si="4"/>
        <v>3.0686967917994115</v>
      </c>
      <c r="F27" s="18"/>
      <c r="G27" s="11">
        <v>200</v>
      </c>
      <c r="H27" s="12">
        <v>1.49</v>
      </c>
      <c r="I27" s="12">
        <v>4.3499999999999996</v>
      </c>
      <c r="J27" s="13">
        <f t="shared" si="5"/>
        <v>4.5981083066843906</v>
      </c>
      <c r="K27" s="18"/>
      <c r="L27" s="11">
        <v>200</v>
      </c>
      <c r="M27" s="12">
        <v>1.53</v>
      </c>
      <c r="N27" s="12">
        <v>2.9</v>
      </c>
      <c r="O27" s="13">
        <f t="shared" si="6"/>
        <v>3.2788565079917724</v>
      </c>
      <c r="P27" s="18"/>
      <c r="Q27" s="11">
        <v>200</v>
      </c>
      <c r="R27" s="12">
        <v>1.44</v>
      </c>
      <c r="S27" s="12">
        <v>4.88</v>
      </c>
      <c r="T27" s="13">
        <f t="shared" si="7"/>
        <v>5.0880251571705104</v>
      </c>
      <c r="U27" s="3"/>
      <c r="V27" s="19">
        <v>2</v>
      </c>
      <c r="W27" s="20">
        <v>12</v>
      </c>
      <c r="X27" s="20">
        <v>9.9199999999999997E-2</v>
      </c>
      <c r="Y27" s="3"/>
      <c r="Z27" s="19">
        <v>8</v>
      </c>
      <c r="AA27" s="20"/>
      <c r="AB27" s="20"/>
    </row>
    <row r="28" spans="1:28" s="4" customFormat="1" ht="12" customHeight="1" x14ac:dyDescent="0.15">
      <c r="A28" s="3"/>
      <c r="B28" s="11">
        <v>300</v>
      </c>
      <c r="C28" s="12">
        <v>1.5</v>
      </c>
      <c r="D28" s="12">
        <v>2.82</v>
      </c>
      <c r="E28" s="13">
        <f t="shared" si="4"/>
        <v>3.1941195970094793</v>
      </c>
      <c r="F28" s="18"/>
      <c r="G28" s="11">
        <v>300</v>
      </c>
      <c r="H28" s="12">
        <v>1.44</v>
      </c>
      <c r="I28" s="12">
        <v>4.43</v>
      </c>
      <c r="J28" s="13">
        <f t="shared" si="5"/>
        <v>4.658164874711928</v>
      </c>
      <c r="K28" s="18"/>
      <c r="L28" s="11">
        <v>300</v>
      </c>
      <c r="M28" s="12">
        <v>1.41</v>
      </c>
      <c r="N28" s="12">
        <v>3.26</v>
      </c>
      <c r="O28" s="13">
        <f t="shared" si="6"/>
        <v>3.5518586683594267</v>
      </c>
      <c r="P28" s="18"/>
      <c r="Q28" s="11">
        <v>300</v>
      </c>
      <c r="R28" s="12">
        <v>1.34</v>
      </c>
      <c r="S28" s="12">
        <v>5.07</v>
      </c>
      <c r="T28" s="13">
        <f t="shared" si="7"/>
        <v>5.2440919137635262</v>
      </c>
      <c r="U28" s="3"/>
      <c r="V28" s="19">
        <v>3.5</v>
      </c>
      <c r="W28" s="20">
        <v>6.76</v>
      </c>
      <c r="X28" s="20">
        <v>9.1399999999999995E-2</v>
      </c>
      <c r="Y28" s="3"/>
      <c r="Z28" s="19">
        <v>14</v>
      </c>
      <c r="AA28" s="20"/>
      <c r="AB28" s="20"/>
    </row>
    <row r="29" spans="1:28" s="4" customFormat="1" ht="12" customHeight="1" x14ac:dyDescent="0.15">
      <c r="A29" s="3"/>
      <c r="B29" s="11">
        <v>500</v>
      </c>
      <c r="C29" s="12">
        <v>1.25</v>
      </c>
      <c r="D29" s="12">
        <v>4.0599999999999996</v>
      </c>
      <c r="E29" s="13">
        <f t="shared" si="4"/>
        <v>4.2480701500799158</v>
      </c>
      <c r="F29" s="18"/>
      <c r="G29" s="11">
        <v>500</v>
      </c>
      <c r="H29" s="12">
        <v>1.07</v>
      </c>
      <c r="I29" s="12">
        <v>4.09</v>
      </c>
      <c r="J29" s="13">
        <f t="shared" si="5"/>
        <v>4.2276470997470916</v>
      </c>
      <c r="K29" s="18"/>
      <c r="L29" s="11">
        <v>500</v>
      </c>
      <c r="M29" s="12">
        <v>1.18</v>
      </c>
      <c r="N29" s="12">
        <v>4.6100000000000003</v>
      </c>
      <c r="O29" s="13">
        <f t="shared" si="6"/>
        <v>4.7586237506237037</v>
      </c>
      <c r="P29" s="18"/>
      <c r="Q29" s="11">
        <v>500</v>
      </c>
      <c r="R29" s="12">
        <v>1.06</v>
      </c>
      <c r="S29" s="12">
        <v>5.47</v>
      </c>
      <c r="T29" s="13">
        <f t="shared" si="7"/>
        <v>5.5717591477019175</v>
      </c>
      <c r="U29" s="3"/>
      <c r="V29" s="19">
        <v>5.5</v>
      </c>
      <c r="W29" s="20">
        <v>4.34</v>
      </c>
      <c r="X29" s="20">
        <v>9.1399999999999995E-2</v>
      </c>
      <c r="Y29" s="3"/>
      <c r="Z29" s="19">
        <v>22</v>
      </c>
      <c r="AA29" s="20"/>
      <c r="AB29" s="20"/>
    </row>
    <row r="30" spans="1:28" s="4" customFormat="1" ht="12" customHeight="1" x14ac:dyDescent="0.15">
      <c r="A30" s="3"/>
      <c r="B30" s="11">
        <v>750</v>
      </c>
      <c r="C30" s="12">
        <v>1.31</v>
      </c>
      <c r="D30" s="12">
        <v>4.92</v>
      </c>
      <c r="E30" s="13">
        <f t="shared" si="4"/>
        <v>5.0914143418111237</v>
      </c>
      <c r="F30" s="18"/>
      <c r="G30" s="11"/>
      <c r="H30" s="12"/>
      <c r="I30" s="12"/>
      <c r="J30" s="13" t="str">
        <f t="shared" si="5"/>
        <v/>
      </c>
      <c r="K30" s="18"/>
      <c r="L30" s="11">
        <v>750</v>
      </c>
      <c r="M30" s="12">
        <v>1.24</v>
      </c>
      <c r="N30" s="12">
        <v>5.35</v>
      </c>
      <c r="O30" s="13">
        <f t="shared" si="6"/>
        <v>5.4918211915538544</v>
      </c>
      <c r="P30" s="18"/>
      <c r="Q30" s="11"/>
      <c r="R30" s="12"/>
      <c r="S30" s="12"/>
      <c r="T30" s="13" t="str">
        <f t="shared" si="7"/>
        <v/>
      </c>
      <c r="U30" s="3"/>
      <c r="V30" s="19">
        <v>8</v>
      </c>
      <c r="W30" s="20">
        <v>3.01</v>
      </c>
      <c r="X30" s="20">
        <v>8.6999999999999994E-2</v>
      </c>
      <c r="Y30" s="3"/>
      <c r="Z30" s="19">
        <v>38</v>
      </c>
      <c r="AA30" s="20"/>
      <c r="AB30" s="20"/>
    </row>
    <row r="31" spans="1:28" s="4" customFormat="1" ht="12" customHeight="1" x14ac:dyDescent="0.15">
      <c r="A31" s="3"/>
      <c r="B31" s="11">
        <v>1000</v>
      </c>
      <c r="C31" s="12">
        <v>1.19</v>
      </c>
      <c r="D31" s="12">
        <v>5.0199999999999996</v>
      </c>
      <c r="E31" s="13">
        <f t="shared" si="4"/>
        <v>5.159118141698249</v>
      </c>
      <c r="F31" s="18"/>
      <c r="G31" s="11"/>
      <c r="H31" s="12"/>
      <c r="I31" s="12"/>
      <c r="J31" s="13" t="str">
        <f t="shared" si="5"/>
        <v/>
      </c>
      <c r="K31" s="18"/>
      <c r="L31" s="11">
        <v>1000</v>
      </c>
      <c r="M31" s="12">
        <v>1.1200000000000001</v>
      </c>
      <c r="N31" s="12">
        <v>5.68</v>
      </c>
      <c r="O31" s="13">
        <f t="shared" si="6"/>
        <v>5.7893695684418001</v>
      </c>
      <c r="P31" s="18"/>
      <c r="Q31" s="11"/>
      <c r="R31" s="12"/>
      <c r="S31" s="12"/>
      <c r="T31" s="13" t="str">
        <f t="shared" si="7"/>
        <v/>
      </c>
      <c r="U31" s="3"/>
      <c r="V31" s="19">
        <v>14</v>
      </c>
      <c r="W31" s="20">
        <v>1.71</v>
      </c>
      <c r="X31" s="20">
        <v>8.2799999999999999E-2</v>
      </c>
      <c r="Y31" s="3"/>
      <c r="Z31" s="19">
        <v>60</v>
      </c>
      <c r="AA31" s="20"/>
      <c r="AB31" s="20"/>
    </row>
    <row r="32" spans="1:28" s="4" customFormat="1" ht="12" customHeight="1" x14ac:dyDescent="0.15">
      <c r="A32" s="3"/>
      <c r="B32" s="11"/>
      <c r="C32" s="12"/>
      <c r="D32" s="12"/>
      <c r="E32" s="13" t="str">
        <f t="shared" si="4"/>
        <v/>
      </c>
      <c r="F32" s="18"/>
      <c r="G32" s="11"/>
      <c r="H32" s="12"/>
      <c r="I32" s="12"/>
      <c r="J32" s="13" t="str">
        <f t="shared" si="5"/>
        <v/>
      </c>
      <c r="K32" s="18"/>
      <c r="L32" s="11"/>
      <c r="M32" s="12"/>
      <c r="N32" s="12"/>
      <c r="O32" s="13" t="str">
        <f t="shared" si="6"/>
        <v/>
      </c>
      <c r="P32" s="18"/>
      <c r="Q32" s="11"/>
      <c r="R32" s="12"/>
      <c r="S32" s="12"/>
      <c r="T32" s="13" t="str">
        <f t="shared" si="7"/>
        <v/>
      </c>
      <c r="U32" s="3"/>
      <c r="V32" s="19">
        <v>22</v>
      </c>
      <c r="W32" s="20">
        <v>1.08</v>
      </c>
      <c r="X32" s="20">
        <v>8.2000000000000003E-2</v>
      </c>
      <c r="Y32" s="3"/>
      <c r="Z32" s="19">
        <v>100</v>
      </c>
      <c r="AA32" s="20"/>
      <c r="AB32" s="20"/>
    </row>
    <row r="33" spans="1:28" s="4" customFormat="1" ht="12" customHeight="1" x14ac:dyDescent="0.15">
      <c r="A33" s="3"/>
      <c r="B33" s="11"/>
      <c r="C33" s="12"/>
      <c r="D33" s="12"/>
      <c r="E33" s="13" t="str">
        <f t="shared" si="4"/>
        <v/>
      </c>
      <c r="F33" s="14"/>
      <c r="G33" s="11"/>
      <c r="H33" s="12"/>
      <c r="I33" s="12"/>
      <c r="J33" s="13" t="str">
        <f t="shared" si="5"/>
        <v/>
      </c>
      <c r="K33" s="14"/>
      <c r="L33" s="11"/>
      <c r="M33" s="12"/>
      <c r="N33" s="12"/>
      <c r="O33" s="13" t="str">
        <f t="shared" si="6"/>
        <v/>
      </c>
      <c r="P33" s="14"/>
      <c r="Q33" s="11"/>
      <c r="R33" s="12"/>
      <c r="S33" s="12"/>
      <c r="T33" s="13" t="str">
        <f t="shared" si="7"/>
        <v/>
      </c>
      <c r="U33" s="3"/>
      <c r="V33" s="19">
        <v>38</v>
      </c>
      <c r="W33" s="20">
        <v>0.626</v>
      </c>
      <c r="X33" s="20">
        <v>7.7100000000000002E-2</v>
      </c>
      <c r="Y33" s="3"/>
      <c r="Z33" s="19">
        <v>150</v>
      </c>
      <c r="AA33" s="20"/>
      <c r="AB33" s="20"/>
    </row>
    <row r="34" spans="1:28" s="4" customFormat="1" ht="12" customHeight="1" x14ac:dyDescent="0.15">
      <c r="A34" s="3"/>
      <c r="B34" s="11"/>
      <c r="C34" s="12"/>
      <c r="D34" s="12"/>
      <c r="E34" s="13" t="str">
        <f t="shared" si="4"/>
        <v/>
      </c>
      <c r="F34" s="14"/>
      <c r="G34" s="11"/>
      <c r="H34" s="12"/>
      <c r="I34" s="12"/>
      <c r="J34" s="13" t="str">
        <f t="shared" si="5"/>
        <v/>
      </c>
      <c r="K34" s="14"/>
      <c r="L34" s="11"/>
      <c r="M34" s="12"/>
      <c r="N34" s="12"/>
      <c r="O34" s="13" t="str">
        <f t="shared" si="6"/>
        <v/>
      </c>
      <c r="P34" s="14"/>
      <c r="Q34" s="11"/>
      <c r="R34" s="12"/>
      <c r="S34" s="12"/>
      <c r="T34" s="13" t="str">
        <f t="shared" si="7"/>
        <v/>
      </c>
      <c r="U34" s="3"/>
      <c r="V34" s="19">
        <v>60</v>
      </c>
      <c r="W34" s="20">
        <v>0.39700000000000002</v>
      </c>
      <c r="X34" s="20">
        <v>7.7299999999999994E-2</v>
      </c>
      <c r="Y34" s="3"/>
      <c r="Z34" s="19">
        <v>200</v>
      </c>
      <c r="AA34" s="20"/>
      <c r="AB34" s="20"/>
    </row>
    <row r="35" spans="1:28" s="4" customFormat="1" ht="12" customHeight="1" x14ac:dyDescent="0.15">
      <c r="A35" s="3"/>
      <c r="B35" s="14"/>
      <c r="C35" s="14"/>
      <c r="D35" s="14"/>
      <c r="E35" s="14"/>
      <c r="F35" s="14"/>
      <c r="G35" s="14"/>
      <c r="H35" s="14"/>
      <c r="I35" s="14"/>
      <c r="J35" s="14"/>
      <c r="K35" s="14"/>
      <c r="L35" s="14"/>
      <c r="M35" s="14"/>
      <c r="N35" s="14"/>
      <c r="O35" s="14"/>
      <c r="P35" s="14"/>
      <c r="Q35" s="14"/>
      <c r="R35" s="14"/>
      <c r="S35" s="14"/>
      <c r="T35" s="14"/>
      <c r="U35" s="14"/>
      <c r="V35" s="19">
        <v>100</v>
      </c>
      <c r="W35" s="20">
        <v>0.24</v>
      </c>
      <c r="X35" s="20">
        <v>7.7700000000000005E-2</v>
      </c>
      <c r="Y35" s="3"/>
      <c r="Z35" s="19">
        <v>250</v>
      </c>
      <c r="AA35" s="20"/>
      <c r="AB35" s="20"/>
    </row>
    <row r="36" spans="1:28" s="4" customFormat="1" ht="12" customHeight="1" x14ac:dyDescent="0.2">
      <c r="A36" s="3"/>
      <c r="B36" s="5" t="s">
        <v>70</v>
      </c>
      <c r="C36" s="411" t="s">
        <v>98</v>
      </c>
      <c r="D36" s="412"/>
      <c r="E36" s="6" t="s">
        <v>74</v>
      </c>
      <c r="F36" s="14"/>
      <c r="G36" s="23" t="s">
        <v>99</v>
      </c>
      <c r="H36" s="411" t="s">
        <v>98</v>
      </c>
      <c r="I36" s="412"/>
      <c r="J36" s="6" t="s">
        <v>74</v>
      </c>
      <c r="K36" s="14"/>
      <c r="L36" s="14"/>
      <c r="M36" s="14"/>
      <c r="N36" s="14"/>
      <c r="O36" s="14"/>
      <c r="P36" s="14"/>
      <c r="Q36" s="14"/>
      <c r="R36" s="14"/>
      <c r="S36" s="14"/>
      <c r="T36" s="14"/>
      <c r="U36" s="14"/>
      <c r="V36" s="19">
        <v>150</v>
      </c>
      <c r="W36" s="20">
        <v>0.159</v>
      </c>
      <c r="X36" s="20">
        <v>7.4700000000000003E-2</v>
      </c>
      <c r="Y36" s="3"/>
      <c r="Z36" s="19">
        <v>325</v>
      </c>
      <c r="AA36" s="20"/>
      <c r="AB36" s="20"/>
    </row>
    <row r="37" spans="1:28" s="4" customFormat="1" ht="12" customHeight="1" x14ac:dyDescent="0.15">
      <c r="A37" s="3"/>
      <c r="B37" s="8" t="s">
        <v>80</v>
      </c>
      <c r="C37" s="9" t="s">
        <v>81</v>
      </c>
      <c r="D37" s="9" t="s">
        <v>82</v>
      </c>
      <c r="E37" s="9" t="s">
        <v>83</v>
      </c>
      <c r="F37" s="14"/>
      <c r="G37" s="8" t="s">
        <v>80</v>
      </c>
      <c r="H37" s="9" t="s">
        <v>81</v>
      </c>
      <c r="I37" s="9" t="s">
        <v>82</v>
      </c>
      <c r="J37" s="9" t="s">
        <v>83</v>
      </c>
      <c r="K37" s="14"/>
      <c r="L37" s="14"/>
      <c r="M37" s="14"/>
      <c r="N37" s="14"/>
      <c r="O37" s="14"/>
      <c r="P37" s="14"/>
      <c r="Q37" s="14"/>
      <c r="R37" s="14"/>
      <c r="S37" s="14"/>
      <c r="T37" s="14"/>
      <c r="U37" s="14"/>
      <c r="V37" s="19">
        <v>200</v>
      </c>
      <c r="W37" s="20">
        <v>0.121</v>
      </c>
      <c r="X37" s="20">
        <v>7.5700000000000003E-2</v>
      </c>
      <c r="Y37" s="3"/>
      <c r="Z37" s="19">
        <v>400</v>
      </c>
      <c r="AA37" s="20"/>
      <c r="AB37" s="20"/>
    </row>
    <row r="38" spans="1:28" s="4" customFormat="1" ht="12" customHeight="1" x14ac:dyDescent="0.15">
      <c r="A38" s="3"/>
      <c r="B38" s="11"/>
      <c r="C38" s="12"/>
      <c r="D38" s="12"/>
      <c r="E38" s="13" t="str">
        <f t="shared" ref="E38:E52" si="8">IF(D38="","",SQRT((C38^2)+(D38^2)))</f>
        <v/>
      </c>
      <c r="F38" s="3"/>
      <c r="G38" s="24"/>
      <c r="H38" s="25"/>
      <c r="I38" s="25"/>
      <c r="J38" s="26" t="str">
        <f t="shared" ref="J38:J52" si="9">IF(I38="","",SQRT((H38^2)+(I38^2)))</f>
        <v/>
      </c>
      <c r="K38" s="3"/>
      <c r="L38" s="3"/>
      <c r="M38" s="3"/>
      <c r="N38" s="3"/>
      <c r="O38" s="3"/>
      <c r="P38" s="3"/>
      <c r="Q38" s="3"/>
      <c r="R38" s="3"/>
      <c r="S38" s="3"/>
      <c r="T38" s="3"/>
      <c r="U38" s="3"/>
      <c r="V38" s="19">
        <v>250</v>
      </c>
      <c r="W38" s="20">
        <v>9.8500000000000004E-2</v>
      </c>
      <c r="X38" s="20">
        <v>7.4200000000000002E-2</v>
      </c>
      <c r="Y38" s="3"/>
      <c r="Z38" s="19">
        <v>500</v>
      </c>
      <c r="AA38" s="20"/>
      <c r="AB38" s="20"/>
    </row>
    <row r="39" spans="1:28" s="4" customFormat="1" ht="12" customHeight="1" x14ac:dyDescent="0.15">
      <c r="A39" s="3"/>
      <c r="B39" s="11"/>
      <c r="C39" s="12"/>
      <c r="D39" s="12"/>
      <c r="E39" s="13" t="str">
        <f t="shared" si="8"/>
        <v/>
      </c>
      <c r="F39" s="3"/>
      <c r="G39" s="24"/>
      <c r="H39" s="25"/>
      <c r="I39" s="25"/>
      <c r="J39" s="26" t="str">
        <f t="shared" si="9"/>
        <v/>
      </c>
      <c r="K39" s="3"/>
      <c r="L39" s="3"/>
      <c r="M39" s="3"/>
      <c r="N39" s="3"/>
      <c r="O39" s="3"/>
      <c r="P39" s="3"/>
      <c r="Q39" s="3"/>
      <c r="R39" s="3"/>
      <c r="S39" s="3"/>
      <c r="T39" s="3"/>
      <c r="U39" s="3"/>
      <c r="V39" s="19">
        <v>325</v>
      </c>
      <c r="W39" s="20">
        <v>7.7100000000000002E-2</v>
      </c>
      <c r="X39" s="20">
        <v>7.2499999999999995E-2</v>
      </c>
      <c r="Y39" s="3"/>
      <c r="Z39" s="19">
        <v>600</v>
      </c>
      <c r="AA39" s="20"/>
      <c r="AB39" s="20"/>
    </row>
    <row r="40" spans="1:28" s="4" customFormat="1" ht="12" customHeight="1" x14ac:dyDescent="0.15">
      <c r="A40" s="3"/>
      <c r="B40" s="11"/>
      <c r="C40" s="12"/>
      <c r="D40" s="12"/>
      <c r="E40" s="13" t="str">
        <f t="shared" si="8"/>
        <v/>
      </c>
      <c r="F40" s="3"/>
      <c r="G40" s="24"/>
      <c r="H40" s="25"/>
      <c r="I40" s="25"/>
      <c r="J40" s="26" t="str">
        <f t="shared" si="9"/>
        <v/>
      </c>
      <c r="K40" s="3"/>
      <c r="L40" s="3"/>
      <c r="M40" s="3"/>
      <c r="N40" s="3"/>
      <c r="O40" s="3"/>
      <c r="P40" s="3"/>
      <c r="Q40" s="3"/>
      <c r="R40" s="3"/>
      <c r="S40" s="3"/>
      <c r="T40" s="3"/>
      <c r="U40" s="3"/>
      <c r="V40" s="19"/>
      <c r="W40" s="20"/>
      <c r="X40" s="20"/>
      <c r="Y40" s="3"/>
      <c r="Z40" s="19">
        <v>800</v>
      </c>
      <c r="AA40" s="20"/>
      <c r="AB40" s="20"/>
    </row>
    <row r="41" spans="1:28" s="4" customFormat="1" ht="12" customHeight="1" x14ac:dyDescent="0.15">
      <c r="A41" s="3"/>
      <c r="B41" s="11"/>
      <c r="C41" s="12"/>
      <c r="D41" s="12"/>
      <c r="E41" s="13" t="str">
        <f t="shared" si="8"/>
        <v/>
      </c>
      <c r="F41" s="3"/>
      <c r="G41" s="24"/>
      <c r="H41" s="25"/>
      <c r="I41" s="25"/>
      <c r="J41" s="26" t="str">
        <f t="shared" si="9"/>
        <v/>
      </c>
      <c r="K41" s="3"/>
      <c r="L41" s="3"/>
      <c r="M41" s="3"/>
      <c r="N41" s="3"/>
      <c r="O41" s="3"/>
      <c r="P41" s="3"/>
      <c r="Q41" s="3"/>
      <c r="R41" s="3"/>
      <c r="S41" s="3"/>
      <c r="T41" s="3"/>
      <c r="U41" s="3"/>
      <c r="V41" s="19"/>
      <c r="W41" s="20"/>
      <c r="X41" s="20"/>
      <c r="Y41" s="3"/>
      <c r="Z41" s="19">
        <v>1000</v>
      </c>
      <c r="AA41" s="20"/>
      <c r="AB41" s="20"/>
    </row>
    <row r="42" spans="1:28" s="4" customFormat="1" ht="12" customHeight="1" x14ac:dyDescent="0.15">
      <c r="A42" s="3"/>
      <c r="B42" s="11"/>
      <c r="C42" s="12"/>
      <c r="D42" s="12"/>
      <c r="E42" s="13" t="str">
        <f t="shared" si="8"/>
        <v/>
      </c>
      <c r="F42" s="3"/>
      <c r="G42" s="24"/>
      <c r="H42" s="25"/>
      <c r="I42" s="25"/>
      <c r="J42" s="26" t="str">
        <f t="shared" si="9"/>
        <v/>
      </c>
      <c r="K42" s="3"/>
      <c r="L42" s="3"/>
      <c r="M42" s="3"/>
      <c r="N42" s="3"/>
      <c r="O42" s="3"/>
      <c r="P42" s="3"/>
      <c r="Q42" s="3"/>
      <c r="R42" s="3"/>
      <c r="S42" s="3"/>
      <c r="T42" s="3"/>
      <c r="U42" s="3"/>
      <c r="V42" s="19"/>
      <c r="W42" s="20"/>
      <c r="X42" s="20"/>
      <c r="Y42" s="3"/>
      <c r="Z42" s="19"/>
      <c r="AA42" s="20"/>
      <c r="AB42" s="20"/>
    </row>
    <row r="43" spans="1:28" s="4" customFormat="1" ht="12" customHeight="1" x14ac:dyDescent="0.15">
      <c r="A43" s="3"/>
      <c r="B43" s="11"/>
      <c r="C43" s="12"/>
      <c r="D43" s="12"/>
      <c r="E43" s="13" t="str">
        <f t="shared" si="8"/>
        <v/>
      </c>
      <c r="F43" s="3"/>
      <c r="G43" s="24"/>
      <c r="H43" s="25"/>
      <c r="I43" s="25"/>
      <c r="J43" s="26" t="str">
        <f t="shared" si="9"/>
        <v/>
      </c>
      <c r="K43" s="3"/>
      <c r="L43" s="3"/>
      <c r="M43" s="3"/>
      <c r="N43" s="3"/>
      <c r="O43" s="3"/>
      <c r="P43" s="3"/>
      <c r="Q43" s="3"/>
      <c r="R43" s="3"/>
      <c r="S43" s="3"/>
      <c r="T43" s="3"/>
      <c r="U43" s="3"/>
      <c r="V43" s="19"/>
      <c r="W43" s="20"/>
      <c r="X43" s="20"/>
      <c r="Y43" s="3"/>
      <c r="Z43" s="19"/>
      <c r="AA43" s="20"/>
      <c r="AB43" s="20"/>
    </row>
    <row r="44" spans="1:28" s="4" customFormat="1" ht="12" customHeight="1" x14ac:dyDescent="0.15">
      <c r="A44" s="3"/>
      <c r="B44" s="11"/>
      <c r="C44" s="12"/>
      <c r="D44" s="12"/>
      <c r="E44" s="13" t="str">
        <f t="shared" si="8"/>
        <v/>
      </c>
      <c r="F44" s="3"/>
      <c r="G44" s="24"/>
      <c r="H44" s="25"/>
      <c r="I44" s="25"/>
      <c r="J44" s="26" t="str">
        <f t="shared" si="9"/>
        <v/>
      </c>
      <c r="K44" s="3"/>
      <c r="L44" s="3"/>
      <c r="M44" s="3"/>
      <c r="N44" s="3"/>
      <c r="O44" s="3"/>
      <c r="P44" s="3"/>
      <c r="Q44" s="3"/>
      <c r="R44" s="3"/>
      <c r="S44" s="3"/>
      <c r="T44" s="3"/>
      <c r="U44" s="3"/>
      <c r="V44" s="19"/>
      <c r="W44" s="20"/>
      <c r="X44" s="20"/>
      <c r="Y44" s="3"/>
      <c r="Z44" s="19"/>
      <c r="AA44" s="20"/>
      <c r="AB44" s="20"/>
    </row>
    <row r="45" spans="1:28" s="4" customFormat="1" ht="12" customHeight="1" x14ac:dyDescent="0.15">
      <c r="A45" s="3"/>
      <c r="B45" s="11"/>
      <c r="C45" s="12"/>
      <c r="D45" s="12"/>
      <c r="E45" s="13" t="str">
        <f t="shared" si="8"/>
        <v/>
      </c>
      <c r="F45" s="3"/>
      <c r="G45" s="24"/>
      <c r="H45" s="25"/>
      <c r="I45" s="25"/>
      <c r="J45" s="26" t="str">
        <f t="shared" si="9"/>
        <v/>
      </c>
      <c r="K45" s="3"/>
      <c r="L45" s="3"/>
      <c r="M45" s="3"/>
      <c r="N45" s="3"/>
      <c r="O45" s="3"/>
      <c r="P45" s="3"/>
      <c r="Q45" s="3"/>
      <c r="R45" s="3"/>
      <c r="S45" s="3"/>
      <c r="T45" s="3"/>
      <c r="U45" s="3"/>
      <c r="V45" s="3"/>
      <c r="W45" s="3"/>
      <c r="X45" s="3"/>
      <c r="Y45" s="3"/>
      <c r="Z45" s="3"/>
      <c r="AA45" s="3"/>
      <c r="AB45" s="3"/>
    </row>
    <row r="46" spans="1:28" s="4" customFormat="1" ht="12" customHeight="1" x14ac:dyDescent="0.15">
      <c r="A46" s="3"/>
      <c r="B46" s="11"/>
      <c r="C46" s="12"/>
      <c r="D46" s="12"/>
      <c r="E46" s="13" t="str">
        <f t="shared" si="8"/>
        <v/>
      </c>
      <c r="F46" s="3"/>
      <c r="G46" s="24"/>
      <c r="H46" s="25"/>
      <c r="I46" s="25"/>
      <c r="J46" s="26" t="str">
        <f t="shared" si="9"/>
        <v/>
      </c>
      <c r="K46" s="3"/>
      <c r="L46" s="3"/>
      <c r="M46" s="3"/>
      <c r="N46" s="3"/>
      <c r="O46" s="3"/>
      <c r="P46" s="3"/>
      <c r="Q46" s="3"/>
      <c r="R46" s="3"/>
      <c r="S46" s="3"/>
      <c r="T46" s="3"/>
      <c r="U46" s="3"/>
      <c r="V46" s="3"/>
      <c r="W46" s="3"/>
      <c r="X46" s="3"/>
      <c r="Y46" s="3"/>
      <c r="Z46" s="3"/>
      <c r="AA46" s="3"/>
      <c r="AB46" s="3"/>
    </row>
    <row r="47" spans="1:28" s="4" customFormat="1" ht="12" customHeight="1" x14ac:dyDescent="0.15">
      <c r="A47" s="3"/>
      <c r="B47" s="11"/>
      <c r="C47" s="12"/>
      <c r="D47" s="12"/>
      <c r="E47" s="13" t="str">
        <f t="shared" si="8"/>
        <v/>
      </c>
      <c r="F47" s="3"/>
      <c r="G47" s="24"/>
      <c r="H47" s="25"/>
      <c r="I47" s="25"/>
      <c r="J47" s="26" t="str">
        <f t="shared" si="9"/>
        <v/>
      </c>
      <c r="K47" s="3"/>
      <c r="L47" s="3"/>
      <c r="M47" s="3"/>
      <c r="N47" s="3"/>
      <c r="O47" s="3"/>
      <c r="P47" s="3"/>
      <c r="Q47" s="3"/>
      <c r="R47" s="3"/>
      <c r="S47" s="3"/>
      <c r="T47" s="3"/>
      <c r="U47" s="3"/>
      <c r="V47" s="3"/>
      <c r="W47" s="3"/>
      <c r="X47" s="3"/>
      <c r="Y47" s="3"/>
      <c r="Z47" s="3"/>
      <c r="AA47" s="3"/>
      <c r="AB47" s="3"/>
    </row>
    <row r="48" spans="1:28" s="4" customFormat="1" ht="12" customHeight="1" x14ac:dyDescent="0.15">
      <c r="A48" s="3"/>
      <c r="B48" s="11"/>
      <c r="C48" s="12"/>
      <c r="D48" s="12"/>
      <c r="E48" s="13" t="str">
        <f t="shared" si="8"/>
        <v/>
      </c>
      <c r="F48" s="3"/>
      <c r="G48" s="24"/>
      <c r="H48" s="25"/>
      <c r="I48" s="25"/>
      <c r="J48" s="26" t="str">
        <f t="shared" si="9"/>
        <v/>
      </c>
      <c r="K48" s="3"/>
      <c r="L48" s="3"/>
      <c r="M48" s="3"/>
      <c r="N48" s="3"/>
      <c r="O48" s="3"/>
      <c r="P48" s="3"/>
      <c r="Q48" s="3"/>
      <c r="R48" s="3"/>
      <c r="S48" s="3"/>
      <c r="T48" s="3"/>
      <c r="U48" s="3"/>
      <c r="V48" s="3"/>
      <c r="W48" s="3"/>
      <c r="X48" s="3"/>
      <c r="Y48" s="3"/>
      <c r="Z48" s="3"/>
      <c r="AA48" s="3"/>
      <c r="AB48" s="3"/>
    </row>
    <row r="49" spans="1:29" s="4" customFormat="1" ht="12" customHeight="1" x14ac:dyDescent="0.15">
      <c r="A49" s="3"/>
      <c r="B49" s="11"/>
      <c r="C49" s="12"/>
      <c r="D49" s="12"/>
      <c r="E49" s="13" t="str">
        <f t="shared" si="8"/>
        <v/>
      </c>
      <c r="F49" s="3"/>
      <c r="G49" s="24"/>
      <c r="H49" s="25"/>
      <c r="I49" s="25"/>
      <c r="J49" s="26" t="str">
        <f t="shared" si="9"/>
        <v/>
      </c>
      <c r="K49" s="3"/>
      <c r="L49" s="3"/>
      <c r="M49" s="3"/>
      <c r="N49" s="3"/>
      <c r="O49" s="3"/>
      <c r="P49" s="3"/>
      <c r="Q49" s="3"/>
      <c r="R49" s="3"/>
      <c r="S49" s="3"/>
      <c r="T49" s="3"/>
      <c r="U49" s="3"/>
      <c r="V49" s="3"/>
      <c r="W49" s="3"/>
      <c r="X49" s="3"/>
      <c r="Y49" s="3"/>
      <c r="Z49" s="3"/>
      <c r="AA49" s="3"/>
      <c r="AB49" s="3"/>
    </row>
    <row r="50" spans="1:29" s="4" customFormat="1" ht="12" customHeight="1" x14ac:dyDescent="0.15">
      <c r="A50" s="3"/>
      <c r="B50" s="11"/>
      <c r="C50" s="12"/>
      <c r="D50" s="12"/>
      <c r="E50" s="13" t="str">
        <f t="shared" si="8"/>
        <v/>
      </c>
      <c r="F50" s="3"/>
      <c r="G50" s="24"/>
      <c r="H50" s="25"/>
      <c r="I50" s="25"/>
      <c r="J50" s="26" t="str">
        <f t="shared" si="9"/>
        <v/>
      </c>
      <c r="K50" s="3"/>
      <c r="L50" s="3"/>
      <c r="M50" s="3"/>
      <c r="N50" s="3"/>
      <c r="O50" s="3"/>
      <c r="P50" s="3"/>
      <c r="Q50" s="3"/>
      <c r="R50" s="3"/>
      <c r="S50" s="3"/>
      <c r="T50" s="3"/>
      <c r="U50" s="3"/>
      <c r="V50" s="3"/>
      <c r="W50" s="3"/>
      <c r="X50" s="3"/>
      <c r="Y50" s="3"/>
      <c r="Z50" s="3"/>
      <c r="AA50" s="3"/>
      <c r="AB50" s="3"/>
    </row>
    <row r="51" spans="1:29" s="4" customFormat="1" ht="12" customHeight="1" x14ac:dyDescent="0.15">
      <c r="A51" s="3"/>
      <c r="B51" s="11"/>
      <c r="C51" s="12"/>
      <c r="D51" s="12"/>
      <c r="E51" s="13" t="str">
        <f t="shared" si="8"/>
        <v/>
      </c>
      <c r="F51" s="3"/>
      <c r="G51" s="24"/>
      <c r="H51" s="25"/>
      <c r="I51" s="25"/>
      <c r="J51" s="26" t="str">
        <f t="shared" si="9"/>
        <v/>
      </c>
      <c r="K51" s="3"/>
      <c r="L51" s="3"/>
      <c r="M51" s="3"/>
      <c r="N51" s="3"/>
      <c r="O51" s="3"/>
      <c r="P51" s="3"/>
      <c r="Q51" s="3"/>
      <c r="R51" s="3"/>
      <c r="S51" s="3"/>
      <c r="T51" s="3"/>
      <c r="U51" s="3"/>
      <c r="V51" s="3"/>
      <c r="W51" s="3"/>
      <c r="X51" s="3"/>
      <c r="Y51" s="3"/>
      <c r="Z51" s="3"/>
      <c r="AA51" s="3"/>
      <c r="AB51" s="3"/>
    </row>
    <row r="52" spans="1:29" s="4" customFormat="1" ht="12" customHeight="1" x14ac:dyDescent="0.15">
      <c r="A52" s="3"/>
      <c r="B52" s="11"/>
      <c r="C52" s="12"/>
      <c r="D52" s="12"/>
      <c r="E52" s="13" t="str">
        <f t="shared" si="8"/>
        <v/>
      </c>
      <c r="F52" s="3"/>
      <c r="G52" s="24"/>
      <c r="H52" s="25"/>
      <c r="I52" s="25"/>
      <c r="J52" s="26" t="str">
        <f t="shared" si="9"/>
        <v/>
      </c>
      <c r="K52" s="3"/>
      <c r="L52" s="3"/>
      <c r="M52" s="3"/>
      <c r="N52" s="3"/>
      <c r="O52" s="3"/>
      <c r="P52" s="3"/>
      <c r="Q52" s="3"/>
      <c r="R52" s="3"/>
      <c r="S52" s="3"/>
      <c r="T52" s="3"/>
      <c r="U52" s="3"/>
      <c r="V52" s="3"/>
      <c r="W52" s="3"/>
      <c r="X52" s="3"/>
      <c r="Y52" s="3"/>
      <c r="Z52" s="3"/>
      <c r="AA52" s="3"/>
      <c r="AB52" s="3"/>
    </row>
    <row r="53" spans="1:29" ht="12" customHeight="1" x14ac:dyDescent="0.15">
      <c r="AC53" s="4"/>
    </row>
    <row r="54" spans="1:29" ht="12" customHeight="1" x14ac:dyDescent="0.15">
      <c r="AC54" s="4"/>
    </row>
    <row r="55" spans="1:29" ht="12" customHeight="1" x14ac:dyDescent="0.15">
      <c r="AC55" s="4"/>
    </row>
    <row r="56" spans="1:29" ht="12" customHeight="1" x14ac:dyDescent="0.15">
      <c r="AC56" s="4"/>
    </row>
    <row r="57" spans="1:29" ht="12" customHeight="1" x14ac:dyDescent="0.15">
      <c r="AC57" s="4"/>
    </row>
    <row r="58" spans="1:29" ht="12" customHeight="1" x14ac:dyDescent="0.15">
      <c r="AC58" s="4"/>
    </row>
    <row r="59" spans="1:29" ht="12" customHeight="1" x14ac:dyDescent="0.15">
      <c r="AC59" s="4"/>
    </row>
    <row r="60" spans="1:29" ht="12" customHeight="1" x14ac:dyDescent="0.15">
      <c r="AC60" s="4"/>
    </row>
    <row r="61" spans="1:29" x14ac:dyDescent="0.15">
      <c r="AC61" s="4"/>
    </row>
    <row r="62" spans="1:29" x14ac:dyDescent="0.15">
      <c r="AC62" s="4"/>
    </row>
    <row r="63" spans="1:29" x14ac:dyDescent="0.15">
      <c r="AC63" s="4"/>
    </row>
    <row r="64" spans="1:29" x14ac:dyDescent="0.15">
      <c r="AC64" s="4"/>
    </row>
    <row r="65" spans="29:29" x14ac:dyDescent="0.15">
      <c r="AC65" s="4"/>
    </row>
    <row r="66" spans="29:29" x14ac:dyDescent="0.15">
      <c r="AC66" s="4"/>
    </row>
    <row r="67" spans="29:29" x14ac:dyDescent="0.15">
      <c r="AC67" s="4"/>
    </row>
    <row r="68" spans="29:29" x14ac:dyDescent="0.15">
      <c r="AC68" s="4"/>
    </row>
    <row r="69" spans="29:29" x14ac:dyDescent="0.15">
      <c r="AC69" s="4"/>
    </row>
    <row r="70" spans="29:29" x14ac:dyDescent="0.15">
      <c r="AC70" s="4"/>
    </row>
    <row r="71" spans="29:29" x14ac:dyDescent="0.15">
      <c r="AC71" s="4"/>
    </row>
    <row r="72" spans="29:29" x14ac:dyDescent="0.15">
      <c r="AC72" s="4"/>
    </row>
    <row r="73" spans="29:29" x14ac:dyDescent="0.15">
      <c r="AC73" s="4"/>
    </row>
    <row r="74" spans="29:29" x14ac:dyDescent="0.15">
      <c r="AC74" s="4"/>
    </row>
    <row r="75" spans="29:29" x14ac:dyDescent="0.15">
      <c r="AC75" s="4"/>
    </row>
    <row r="76" spans="29:29" x14ac:dyDescent="0.15">
      <c r="AC76" s="4"/>
    </row>
    <row r="77" spans="29:29" x14ac:dyDescent="0.15">
      <c r="AC77" s="4"/>
    </row>
    <row r="78" spans="29:29" x14ac:dyDescent="0.15">
      <c r="AC78" s="4"/>
    </row>
    <row r="79" spans="29:29" x14ac:dyDescent="0.15">
      <c r="AC79" s="4"/>
    </row>
    <row r="80" spans="29:29" x14ac:dyDescent="0.15">
      <c r="AC80" s="4"/>
    </row>
    <row r="81" spans="29:29" x14ac:dyDescent="0.15">
      <c r="AC81" s="4"/>
    </row>
    <row r="82" spans="29:29" x14ac:dyDescent="0.15">
      <c r="AC82" s="4"/>
    </row>
    <row r="83" spans="29:29" x14ac:dyDescent="0.15">
      <c r="AC83" s="4"/>
    </row>
    <row r="84" spans="29:29" x14ac:dyDescent="0.15">
      <c r="AC84" s="4"/>
    </row>
    <row r="85" spans="29:29" x14ac:dyDescent="0.15">
      <c r="AC85" s="4"/>
    </row>
    <row r="86" spans="29:29" x14ac:dyDescent="0.15">
      <c r="AC86" s="4"/>
    </row>
    <row r="87" spans="29:29" x14ac:dyDescent="0.15">
      <c r="AC87" s="4"/>
    </row>
    <row r="88" spans="29:29" x14ac:dyDescent="0.15">
      <c r="AC88" s="4"/>
    </row>
    <row r="89" spans="29:29" x14ac:dyDescent="0.15">
      <c r="AC89" s="4"/>
    </row>
    <row r="90" spans="29:29" x14ac:dyDescent="0.15">
      <c r="AC90" s="4"/>
    </row>
    <row r="91" spans="29:29" x14ac:dyDescent="0.15">
      <c r="AC91" s="4"/>
    </row>
    <row r="92" spans="29:29" x14ac:dyDescent="0.15">
      <c r="AC92" s="4"/>
    </row>
    <row r="93" spans="29:29" x14ac:dyDescent="0.15">
      <c r="AC93" s="4"/>
    </row>
    <row r="94" spans="29:29" x14ac:dyDescent="0.15">
      <c r="AC94" s="4"/>
    </row>
    <row r="95" spans="29:29" x14ac:dyDescent="0.15">
      <c r="AC95" s="4"/>
    </row>
    <row r="96" spans="29:29" x14ac:dyDescent="0.15">
      <c r="AC96" s="4"/>
    </row>
    <row r="97" spans="29:29" x14ac:dyDescent="0.15">
      <c r="AC97" s="4"/>
    </row>
    <row r="98" spans="29:29" x14ac:dyDescent="0.15">
      <c r="AC98" s="4"/>
    </row>
    <row r="99" spans="29:29" x14ac:dyDescent="0.15">
      <c r="AC99" s="4"/>
    </row>
    <row r="100" spans="29:29" x14ac:dyDescent="0.15">
      <c r="AC100" s="4"/>
    </row>
    <row r="101" spans="29:29" x14ac:dyDescent="0.15">
      <c r="AC101" s="4"/>
    </row>
    <row r="102" spans="29:29" x14ac:dyDescent="0.15">
      <c r="AC102" s="4"/>
    </row>
    <row r="103" spans="29:29" x14ac:dyDescent="0.15">
      <c r="AC103" s="4"/>
    </row>
    <row r="104" spans="29:29" x14ac:dyDescent="0.15">
      <c r="AC104" s="4"/>
    </row>
    <row r="105" spans="29:29" x14ac:dyDescent="0.15">
      <c r="AC105" s="4"/>
    </row>
    <row r="106" spans="29:29" x14ac:dyDescent="0.15">
      <c r="AC106" s="4"/>
    </row>
    <row r="107" spans="29:29" x14ac:dyDescent="0.15">
      <c r="AC107" s="4"/>
    </row>
    <row r="108" spans="29:29" x14ac:dyDescent="0.15">
      <c r="AC108" s="4"/>
    </row>
    <row r="109" spans="29:29" x14ac:dyDescent="0.15">
      <c r="AC109" s="4"/>
    </row>
    <row r="110" spans="29:29" x14ac:dyDescent="0.15">
      <c r="AC110" s="4"/>
    </row>
    <row r="111" spans="29:29" x14ac:dyDescent="0.15">
      <c r="AC111" s="4"/>
    </row>
    <row r="112" spans="29:29" x14ac:dyDescent="0.15">
      <c r="AC112" s="4"/>
    </row>
    <row r="113" spans="29:29" x14ac:dyDescent="0.15">
      <c r="AC113" s="4"/>
    </row>
    <row r="114" spans="29:29" x14ac:dyDescent="0.15">
      <c r="AC114" s="4"/>
    </row>
    <row r="115" spans="29:29" x14ac:dyDescent="0.15">
      <c r="AC115" s="4"/>
    </row>
    <row r="116" spans="29:29" x14ac:dyDescent="0.15">
      <c r="AC116" s="4"/>
    </row>
    <row r="117" spans="29:29" x14ac:dyDescent="0.15">
      <c r="AC117" s="4"/>
    </row>
    <row r="118" spans="29:29" x14ac:dyDescent="0.15">
      <c r="AC118" s="4"/>
    </row>
    <row r="119" spans="29:29" x14ac:dyDescent="0.15">
      <c r="AC119" s="4"/>
    </row>
    <row r="120" spans="29:29" x14ac:dyDescent="0.15">
      <c r="AC120" s="4"/>
    </row>
    <row r="121" spans="29:29" x14ac:dyDescent="0.15">
      <c r="AC121" s="4"/>
    </row>
    <row r="122" spans="29:29" x14ac:dyDescent="0.15">
      <c r="AC122" s="4"/>
    </row>
    <row r="123" spans="29:29" x14ac:dyDescent="0.15">
      <c r="AC123" s="4"/>
    </row>
    <row r="124" spans="29:29" x14ac:dyDescent="0.15">
      <c r="AC124" s="4"/>
    </row>
    <row r="125" spans="29:29" x14ac:dyDescent="0.15">
      <c r="AC125" s="4"/>
    </row>
    <row r="126" spans="29:29" x14ac:dyDescent="0.15">
      <c r="AC126" s="4"/>
    </row>
    <row r="127" spans="29:29" x14ac:dyDescent="0.15">
      <c r="AC127" s="4"/>
    </row>
    <row r="128" spans="29:29" x14ac:dyDescent="0.15">
      <c r="AC128" s="4"/>
    </row>
    <row r="129" spans="29:29" x14ac:dyDescent="0.15">
      <c r="AC129" s="4"/>
    </row>
    <row r="130" spans="29:29" x14ac:dyDescent="0.15">
      <c r="AC130" s="4"/>
    </row>
    <row r="131" spans="29:29" x14ac:dyDescent="0.15">
      <c r="AC131" s="4"/>
    </row>
    <row r="132" spans="29:29" x14ac:dyDescent="0.15">
      <c r="AC132" s="4"/>
    </row>
    <row r="133" spans="29:29" x14ac:dyDescent="0.15">
      <c r="AC133" s="4"/>
    </row>
    <row r="134" spans="29:29" x14ac:dyDescent="0.15">
      <c r="AC134" s="4"/>
    </row>
    <row r="135" spans="29:29" x14ac:dyDescent="0.15">
      <c r="AC135" s="4"/>
    </row>
    <row r="136" spans="29:29" x14ac:dyDescent="0.15">
      <c r="AC136" s="4"/>
    </row>
    <row r="137" spans="29:29" x14ac:dyDescent="0.15">
      <c r="AC137" s="4"/>
    </row>
    <row r="138" spans="29:29" x14ac:dyDescent="0.15">
      <c r="AC138" s="4"/>
    </row>
    <row r="139" spans="29:29" x14ac:dyDescent="0.15">
      <c r="AC139" s="4"/>
    </row>
    <row r="140" spans="29:29" x14ac:dyDescent="0.15">
      <c r="AC140" s="4"/>
    </row>
    <row r="141" spans="29:29" x14ac:dyDescent="0.15">
      <c r="AC141" s="4"/>
    </row>
    <row r="142" spans="29:29" x14ac:dyDescent="0.15">
      <c r="AC142" s="4"/>
    </row>
    <row r="143" spans="29:29" x14ac:dyDescent="0.15">
      <c r="AC143" s="4"/>
    </row>
    <row r="144" spans="29:29" x14ac:dyDescent="0.15">
      <c r="AC144" s="4"/>
    </row>
    <row r="145" spans="29:29" x14ac:dyDescent="0.15">
      <c r="AC145" s="4"/>
    </row>
    <row r="146" spans="29:29" x14ac:dyDescent="0.15">
      <c r="AC146" s="4"/>
    </row>
    <row r="147" spans="29:29" x14ac:dyDescent="0.15">
      <c r="AC147" s="4"/>
    </row>
    <row r="148" spans="29:29" x14ac:dyDescent="0.15">
      <c r="AC148" s="4"/>
    </row>
    <row r="149" spans="29:29" x14ac:dyDescent="0.15">
      <c r="AC149" s="4"/>
    </row>
    <row r="150" spans="29:29" x14ac:dyDescent="0.15">
      <c r="AC150" s="4"/>
    </row>
    <row r="151" spans="29:29" x14ac:dyDescent="0.15">
      <c r="AC151" s="4"/>
    </row>
    <row r="152" spans="29:29" x14ac:dyDescent="0.15">
      <c r="AC152" s="4"/>
    </row>
    <row r="153" spans="29:29" x14ac:dyDescent="0.15">
      <c r="AC153" s="4"/>
    </row>
    <row r="154" spans="29:29" x14ac:dyDescent="0.15">
      <c r="AC154" s="4"/>
    </row>
    <row r="155" spans="29:29" x14ac:dyDescent="0.15">
      <c r="AC155" s="4"/>
    </row>
  </sheetData>
  <sheetProtection password="B220" sheet="1" objects="1" scenarios="1"/>
  <mergeCells count="15">
    <mergeCell ref="B1:C1"/>
    <mergeCell ref="R18:S18"/>
    <mergeCell ref="C36:D36"/>
    <mergeCell ref="C18:D18"/>
    <mergeCell ref="H2:I2"/>
    <mergeCell ref="M2:N2"/>
    <mergeCell ref="M18:N18"/>
    <mergeCell ref="H18:I18"/>
    <mergeCell ref="C2:D2"/>
    <mergeCell ref="R2:S2"/>
    <mergeCell ref="Z23:AA23"/>
    <mergeCell ref="Z2:AA2"/>
    <mergeCell ref="V23:W23"/>
    <mergeCell ref="V2:W2"/>
    <mergeCell ref="H36:I36"/>
  </mergeCells>
  <phoneticPr fontId="12"/>
  <pageMargins left="0.59055118110236227" right="0.59055118110236227" top="0.98425196850393704" bottom="0.78740157480314965" header="0" footer="0"/>
  <pageSetup paperSize="9" scale="74"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19</vt:i4>
      </vt:variant>
    </vt:vector>
  </HeadingPairs>
  <TitlesOfParts>
    <vt:vector size="21" baseType="lpstr">
      <vt:lpstr>User-VD43</vt:lpstr>
      <vt:lpstr>VD4 data</vt:lpstr>
      <vt:lpstr>'User-VD43'!ＡＣＧ</vt:lpstr>
      <vt:lpstr>ＡＣＧ</vt:lpstr>
      <vt:lpstr>'User-VD43'!ＣＵＳＥＲ</vt:lpstr>
      <vt:lpstr>'VD4 data'!ＣＵＳＥＲ</vt:lpstr>
      <vt:lpstr>'VD4 data'!ＣＶ２３Ｃ</vt:lpstr>
      <vt:lpstr>ＣＶ２３Ｃ</vt:lpstr>
      <vt:lpstr>'User-VD43'!ＣＶＴ</vt:lpstr>
      <vt:lpstr>'VD4 data'!ＣＶＴ</vt:lpstr>
      <vt:lpstr>'User-VD43'!ＩＶ</vt:lpstr>
      <vt:lpstr>'VD4 data'!ＩＶ</vt:lpstr>
      <vt:lpstr>'User-VD43'!Print_Area</vt:lpstr>
      <vt:lpstr>'VD4 data'!Print_Area</vt:lpstr>
      <vt:lpstr>'User-VD43'!Print_Titles</vt:lpstr>
      <vt:lpstr>'User-VD43'!変１</vt:lpstr>
      <vt:lpstr>'VD4 data'!変１</vt:lpstr>
      <vt:lpstr>'User-VD43'!変３</vt:lpstr>
      <vt:lpstr>'VD4 data'!変３</vt:lpstr>
      <vt:lpstr>'User-VD43'!変ＵＳＥＲ</vt:lpstr>
      <vt:lpstr>'VD4 data'!変ＵＳＥＲ</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ESE Service</dc:creator>
  <cp:lastModifiedBy>FJ-USER</cp:lastModifiedBy>
  <cp:lastPrinted>2017-05-01T04:50:39Z</cp:lastPrinted>
  <dcterms:created xsi:type="dcterms:W3CDTF">2005-10-20T07:29:17Z</dcterms:created>
  <dcterms:modified xsi:type="dcterms:W3CDTF">2017-11-18T17:29:44Z</dcterms:modified>
</cp:coreProperties>
</file>